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metadata.xml" ContentType="application/vnd.openxmlformats-officedocument.spreadsheetml.sheetMetadata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20" yWindow="-120" windowWidth="20730" windowHeight="11760" tabRatio="994" activeTab="9"/>
  </bookViews>
  <sheets>
    <sheet name="#listas#" sheetId="1" state="hidden" r:id="rId1"/>
    <sheet name="#insumo total#" sheetId="3" state="hidden" r:id="rId2"/>
    <sheet name="LIMPEZA" sheetId="41" state="hidden" r:id="rId3"/>
    <sheet name="AUXILIAR DE SAUDE BUCAL" sheetId="42" state="hidden" r:id="rId4"/>
    <sheet name="AUXILIAR DE COZINHA" sheetId="43" state="hidden" r:id="rId5"/>
    <sheet name="AJUDANTE-SERVENTE" sheetId="44" state="hidden" r:id="rId6"/>
    <sheet name="ENCANADOR" sheetId="50" state="hidden" r:id="rId7"/>
    <sheet name="ELETRICISTA" sheetId="45" state="hidden" r:id="rId8"/>
    <sheet name="JARDINEIRO" sheetId="46" state="hidden" r:id="rId9"/>
    <sheet name="RESUMO DA PROPOSTA" sheetId="56" r:id="rId10"/>
    <sheet name="ENCARREGADO" sheetId="123" r:id="rId11"/>
    <sheet name="SERVENTE" sheetId="124" r:id="rId12"/>
    <sheet name="CONTÍNUO" sheetId="130" r:id="rId13"/>
    <sheet name="MATERIAIS E EQUIP" sheetId="129" r:id="rId14"/>
    <sheet name="CÁLCULOS M²" sheetId="128" r:id="rId15"/>
    <sheet name="UNIFORMES E EPI" sheetId="131" r:id="rId16"/>
    <sheet name="PEDREIRO" sheetId="48" state="hidden" r:id="rId17"/>
    <sheet name="PINTOR" sheetId="53" state="hidden" r:id="rId18"/>
    <sheet name="PISCINEIRO" sheetId="51" state="hidden" r:id="rId19"/>
    <sheet name="PORTEIRO" sheetId="49" state="hidden" r:id="rId20"/>
    <sheet name="TRABALHADOR RURAL" sheetId="54" state="hidden" r:id="rId21"/>
    <sheet name="TRATORISTA" sheetId="55" state="hidden" r:id="rId22"/>
  </sheets>
  <externalReferences>
    <externalReference r:id="rId23"/>
    <externalReference r:id="rId24"/>
  </externalReferences>
  <definedNames>
    <definedName name="_xlnm.Print_Area" localSheetId="5">'AJUDANTE-SERVENTE'!$A$1:$F$155</definedName>
    <definedName name="_xlnm.Print_Area" localSheetId="4">'AUXILIAR DE COZINHA'!$A$1:$F$156</definedName>
    <definedName name="_xlnm.Print_Area" localSheetId="3">'AUXILIAR DE SAUDE BUCAL'!$A$1:$F$155</definedName>
    <definedName name="_xlnm.Print_Area" localSheetId="12">CONTÍNUO!$A$1:$L$164</definedName>
    <definedName name="_xlnm.Print_Area" localSheetId="7">ELETRICISTA!$A$1:$F$155</definedName>
    <definedName name="_xlnm.Print_Area" localSheetId="6">ENCANADOR!$A$1:$F$155</definedName>
    <definedName name="_xlnm.Print_Area" localSheetId="10">ENCARREGADO!$A$1:$L$164</definedName>
    <definedName name="_xlnm.Print_Area" localSheetId="8">JARDINEIRO!$A$1:$F$155</definedName>
    <definedName name="_xlnm.Print_Area" localSheetId="2">LIMPEZA!$A$1:$S$300</definedName>
    <definedName name="_xlnm.Print_Area" localSheetId="16">PEDREIRO!$A$1:$F$155</definedName>
    <definedName name="_xlnm.Print_Area" localSheetId="17">PINTOR!$A$1:$F$155</definedName>
    <definedName name="_xlnm.Print_Area" localSheetId="18">PISCINEIRO!$A$1:$F$157</definedName>
    <definedName name="_xlnm.Print_Area" localSheetId="19">PORTEIRO!$A$1:$F$157</definedName>
    <definedName name="_xlnm.Print_Area" localSheetId="9">'RESUMO DA PROPOSTA'!$A$1:$H$29</definedName>
    <definedName name="_xlnm.Print_Area" localSheetId="11">SERVENTE!$A$1:$L$164</definedName>
    <definedName name="_xlnm.Print_Area" localSheetId="20">'TRABALHADOR RURAL'!$A$1:$F$155</definedName>
    <definedName name="_xlnm.Print_Area" localSheetId="21">TRATORISTA!$A$1:$F$155</definedName>
    <definedName name="tab_campi">'#listas#'!$E$1:$F$22</definedName>
    <definedName name="tab_dados" localSheetId="5">#REF!</definedName>
    <definedName name="tab_dados" localSheetId="4">#REF!</definedName>
    <definedName name="tab_dados" localSheetId="3">#REF!</definedName>
    <definedName name="tab_dados" localSheetId="12">#REF!</definedName>
    <definedName name="tab_dados" localSheetId="7">#REF!</definedName>
    <definedName name="tab_dados" localSheetId="6">#REF!</definedName>
    <definedName name="tab_dados" localSheetId="10">#REF!</definedName>
    <definedName name="tab_dados" localSheetId="8">#REF!</definedName>
    <definedName name="tab_dados" localSheetId="16">#REF!</definedName>
    <definedName name="tab_dados" localSheetId="17">#REF!</definedName>
    <definedName name="tab_dados" localSheetId="18">#REF!</definedName>
    <definedName name="tab_dados" localSheetId="19">#REF!</definedName>
    <definedName name="tab_dados" localSheetId="9">#REF!</definedName>
    <definedName name="tab_dados" localSheetId="11">#REF!</definedName>
    <definedName name="tab_dados" localSheetId="20">#REF!</definedName>
    <definedName name="tab_dados" localSheetId="21">#REF!</definedName>
    <definedName name="tab_dados">#REF!</definedName>
    <definedName name="tab_equipamentos">'#insumo total#'!$B$7:$W$9</definedName>
    <definedName name="tab_materiais">'#insumo total#'!$B$2:$W$4</definedName>
    <definedName name="tab_periodo">'#listas#'!$B$2:$C$6</definedName>
  </definedNames>
  <calcPr calcId="125725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23" i="130"/>
  <c r="N170" i="123"/>
  <c r="L163" i="124"/>
  <c r="P173"/>
  <c r="L64" i="130" l="1"/>
  <c r="L64" i="124"/>
  <c r="L64" i="123" l="1"/>
  <c r="C45" i="128" l="1"/>
  <c r="C44"/>
  <c r="D44" s="1"/>
  <c r="D45"/>
  <c r="C18"/>
  <c r="C17"/>
  <c r="D17" s="1"/>
  <c r="D18"/>
  <c r="F53"/>
  <c r="F52"/>
  <c r="C38"/>
  <c r="C37"/>
  <c r="C31"/>
  <c r="C30"/>
  <c r="C25"/>
  <c r="C24"/>
  <c r="G43" i="129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6"/>
  <c r="F31" i="131"/>
  <c r="F27"/>
  <c r="F28"/>
  <c r="F29"/>
  <c r="F26"/>
  <c r="F14"/>
  <c r="F15"/>
  <c r="F16"/>
  <c r="F17"/>
  <c r="F18"/>
  <c r="F13"/>
  <c r="E20" i="56"/>
  <c r="E53" i="128"/>
  <c r="E52"/>
  <c r="D46" l="1"/>
  <c r="D19"/>
  <c r="F30" i="131"/>
  <c r="F32" s="1"/>
  <c r="F43" i="129"/>
  <c r="F19" i="131"/>
  <c r="L17" i="129" l="1"/>
  <c r="L7"/>
  <c r="L8"/>
  <c r="L9"/>
  <c r="L10"/>
  <c r="L11"/>
  <c r="L12"/>
  <c r="L13"/>
  <c r="L14"/>
  <c r="L15"/>
  <c r="L16"/>
  <c r="L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6"/>
  <c r="E15" i="56"/>
  <c r="E16"/>
  <c r="E17"/>
  <c r="E18"/>
  <c r="E19"/>
  <c r="E14"/>
  <c r="K158" i="130"/>
  <c r="B158"/>
  <c r="K140"/>
  <c r="K141" s="1"/>
  <c r="K133"/>
  <c r="K132"/>
  <c r="L127"/>
  <c r="L151" s="1"/>
  <c r="K102"/>
  <c r="K90"/>
  <c r="K56"/>
  <c r="K39"/>
  <c r="K41" s="1"/>
  <c r="L28"/>
  <c r="L63" s="1"/>
  <c r="L69" s="1"/>
  <c r="L78" s="1"/>
  <c r="K21"/>
  <c r="L28" i="123"/>
  <c r="E21" i="56" l="1"/>
  <c r="L30" i="130"/>
  <c r="L31"/>
  <c r="L29"/>
  <c r="L32"/>
  <c r="L33"/>
  <c r="L34" l="1"/>
  <c r="L85" s="1"/>
  <c r="E44" i="129"/>
  <c r="F20" i="131"/>
  <c r="F21" s="1"/>
  <c r="L123" i="124" s="1"/>
  <c r="L107" i="130"/>
  <c r="L108" s="1"/>
  <c r="L117" s="1"/>
  <c r="L97"/>
  <c r="L96"/>
  <c r="L84"/>
  <c r="L87"/>
  <c r="L98"/>
  <c r="L147"/>
  <c r="L86"/>
  <c r="L89"/>
  <c r="L100"/>
  <c r="L88"/>
  <c r="L99"/>
  <c r="L102"/>
  <c r="L116" s="1"/>
  <c r="L118" l="1"/>
  <c r="L150" s="1"/>
  <c r="L40"/>
  <c r="L101"/>
  <c r="L39"/>
  <c r="L41" s="1"/>
  <c r="L18" i="129"/>
  <c r="L19" s="1"/>
  <c r="L125" i="124" s="1"/>
  <c r="E45" i="129"/>
  <c r="L124" i="124" s="1" a="1"/>
  <c r="L124" s="1"/>
  <c r="L90" i="130"/>
  <c r="L149" s="1"/>
  <c r="L76" l="1"/>
  <c r="L53"/>
  <c r="L54"/>
  <c r="L49"/>
  <c r="L56" s="1"/>
  <c r="L77" s="1"/>
  <c r="L79" s="1"/>
  <c r="L148" s="1"/>
  <c r="L152" s="1"/>
  <c r="L50"/>
  <c r="L52"/>
  <c r="L48"/>
  <c r="L55"/>
  <c r="L51"/>
  <c r="L132" l="1"/>
  <c r="L133" l="1"/>
  <c r="L134" s="1"/>
  <c r="K158" i="123"/>
  <c r="K158" i="124"/>
  <c r="K133"/>
  <c r="K132"/>
  <c r="B158"/>
  <c r="K140"/>
  <c r="K141" s="1"/>
  <c r="L127"/>
  <c r="L151" s="1"/>
  <c r="K102"/>
  <c r="K56"/>
  <c r="K39"/>
  <c r="K41" s="1"/>
  <c r="L28"/>
  <c r="L30" s="1"/>
  <c r="K21"/>
  <c r="L138" i="130" l="1"/>
  <c r="L136"/>
  <c r="L139"/>
  <c r="L137"/>
  <c r="L31" i="124"/>
  <c r="L32"/>
  <c r="L33"/>
  <c r="L63"/>
  <c r="L69" s="1"/>
  <c r="L78" s="1"/>
  <c r="L29"/>
  <c r="L107" l="1"/>
  <c r="L108" s="1"/>
  <c r="L117" s="1"/>
  <c r="L140" i="130"/>
  <c r="L141" s="1"/>
  <c r="L153" s="1"/>
  <c r="L154" s="1"/>
  <c r="L34" i="124"/>
  <c r="L84" s="1"/>
  <c r="K90"/>
  <c r="G158" i="130" l="1"/>
  <c r="J158" s="1"/>
  <c r="L162" s="1"/>
  <c r="F24" i="56"/>
  <c r="G24" s="1"/>
  <c r="L98" i="124"/>
  <c r="L147"/>
  <c r="L40"/>
  <c r="L89"/>
  <c r="L87"/>
  <c r="L88"/>
  <c r="L101"/>
  <c r="L39"/>
  <c r="L86"/>
  <c r="L96"/>
  <c r="L100"/>
  <c r="L85"/>
  <c r="L97"/>
  <c r="L102"/>
  <c r="L116" s="1"/>
  <c r="L118" s="1"/>
  <c r="L150" s="1"/>
  <c r="L99"/>
  <c r="L163" i="130" l="1"/>
  <c r="L158"/>
  <c r="G25" i="56"/>
  <c r="H24"/>
  <c r="H25" s="1"/>
  <c r="L41" i="124"/>
  <c r="L54" s="1"/>
  <c r="L90"/>
  <c r="L149" s="1"/>
  <c r="L49"/>
  <c r="L76"/>
  <c r="L50"/>
  <c r="L164" i="130" l="1"/>
  <c r="L48" i="124"/>
  <c r="L55"/>
  <c r="L51"/>
  <c r="L52"/>
  <c r="L53"/>
  <c r="L56" l="1"/>
  <c r="L77" s="1"/>
  <c r="L79" s="1"/>
  <c r="L148" s="1"/>
  <c r="L152" s="1"/>
  <c r="L132" l="1"/>
  <c r="L133" s="1"/>
  <c r="L138" s="1"/>
  <c r="L134" l="1"/>
  <c r="L139"/>
  <c r="L137"/>
  <c r="L136"/>
  <c r="L140" l="1"/>
  <c r="L141" s="1"/>
  <c r="L153" s="1"/>
  <c r="L154" s="1"/>
  <c r="D38" i="128" l="1"/>
  <c r="G53"/>
  <c r="D25"/>
  <c r="D12"/>
  <c r="D31"/>
  <c r="G158" i="124"/>
  <c r="J158" s="1"/>
  <c r="L162" s="1"/>
  <c r="B158" i="123"/>
  <c r="K140"/>
  <c r="K141" s="1"/>
  <c r="L127"/>
  <c r="L151" s="1"/>
  <c r="K56"/>
  <c r="K39"/>
  <c r="L32"/>
  <c r="K21"/>
  <c r="L158" i="124" l="1"/>
  <c r="L63" i="123"/>
  <c r="L33"/>
  <c r="K102"/>
  <c r="K90"/>
  <c r="L30"/>
  <c r="K41"/>
  <c r="L29"/>
  <c r="L31"/>
  <c r="L164" i="124" l="1"/>
  <c r="N163"/>
  <c r="L34" i="123"/>
  <c r="L100" s="1"/>
  <c r="L107"/>
  <c r="L108" s="1"/>
  <c r="L117" s="1"/>
  <c r="L89"/>
  <c r="L147"/>
  <c r="L69"/>
  <c r="L78" s="1"/>
  <c r="L88" l="1"/>
  <c r="L85"/>
  <c r="L87"/>
  <c r="L99"/>
  <c r="L84"/>
  <c r="L86"/>
  <c r="L98"/>
  <c r="L96"/>
  <c r="L102"/>
  <c r="L116" s="1"/>
  <c r="L118" s="1"/>
  <c r="L150" s="1"/>
  <c r="L97"/>
  <c r="L101"/>
  <c r="L40"/>
  <c r="L39"/>
  <c r="L90" l="1"/>
  <c r="L149" s="1"/>
  <c r="L41"/>
  <c r="L76" s="1"/>
  <c r="L49" l="1"/>
  <c r="L53"/>
  <c r="L50"/>
  <c r="L55"/>
  <c r="L51"/>
  <c r="L54"/>
  <c r="L48"/>
  <c r="L52"/>
  <c r="L56" l="1"/>
  <c r="L77" s="1"/>
  <c r="L79" s="1"/>
  <c r="L148" s="1"/>
  <c r="L152" s="1"/>
  <c r="L132" l="1"/>
  <c r="L133" s="1"/>
  <c r="L134" s="1"/>
  <c r="L136" l="1"/>
  <c r="L138"/>
  <c r="L139"/>
  <c r="L137"/>
  <c r="L140" l="1"/>
  <c r="L141" s="1"/>
  <c r="L153" s="1"/>
  <c r="L154" s="1"/>
  <c r="G158" l="1"/>
  <c r="J158" s="1"/>
  <c r="L158" s="1"/>
  <c r="L162" l="1"/>
  <c r="G52" i="128"/>
  <c r="G54" s="1"/>
  <c r="G20" i="56" s="1"/>
  <c r="H20" s="1"/>
  <c r="L163" i="123" l="1"/>
  <c r="D37" i="128"/>
  <c r="D39" s="1"/>
  <c r="G17" i="56" s="1"/>
  <c r="H17" s="1"/>
  <c r="D24" i="128"/>
  <c r="D26" s="1"/>
  <c r="G15" i="56" s="1"/>
  <c r="H15" s="1"/>
  <c r="G19"/>
  <c r="H19" s="1"/>
  <c r="D11" i="128"/>
  <c r="D13" s="1"/>
  <c r="G14" i="56" s="1"/>
  <c r="G18"/>
  <c r="H18" s="1"/>
  <c r="D30" i="128"/>
  <c r="D32" s="1"/>
  <c r="G16" i="56" s="1"/>
  <c r="H16" s="1"/>
  <c r="L164" i="123" l="1"/>
  <c r="G22" i="56"/>
  <c r="H14"/>
  <c r="F31" i="41"/>
  <c r="H22" i="56" l="1"/>
  <c r="H26" s="1"/>
  <c r="F25" i="45"/>
  <c r="F25" i="48"/>
  <c r="F25" i="53" s="1"/>
  <c r="F25" i="55" s="1"/>
  <c r="E12" i="48"/>
  <c r="E12" i="53" s="1"/>
  <c r="E12" i="55" s="1"/>
  <c r="F43" i="48"/>
  <c r="F43" i="53" s="1"/>
  <c r="F43" i="55" s="1"/>
  <c r="F44" i="48"/>
  <c r="F44" i="53" s="1"/>
  <c r="F44" i="55" s="1"/>
  <c r="F45" i="48"/>
  <c r="F45" i="53" s="1"/>
  <c r="F45" i="55" s="1"/>
  <c r="F46" i="48"/>
  <c r="F46" i="53" s="1"/>
  <c r="F46" i="55" s="1"/>
  <c r="F42" i="48"/>
  <c r="F42" i="53" s="1"/>
  <c r="F42" i="55" s="1"/>
  <c r="F43" i="50"/>
  <c r="F43" i="45" s="1"/>
  <c r="F44" i="50"/>
  <c r="F44" i="45" s="1"/>
  <c r="F45" i="50"/>
  <c r="F45" i="45" s="1"/>
  <c r="F46" i="50"/>
  <c r="F46" i="45" s="1"/>
  <c r="F42" i="50"/>
  <c r="F42" i="45" s="1"/>
  <c r="F31" i="50"/>
  <c r="F25"/>
  <c r="E12"/>
  <c r="E12" i="45" s="1"/>
  <c r="F43" i="44"/>
  <c r="F44"/>
  <c r="F45"/>
  <c r="F46"/>
  <c r="F42"/>
  <c r="F25"/>
  <c r="F176" i="41" s="1"/>
  <c r="E12" i="44"/>
  <c r="F43" i="41"/>
  <c r="F194" s="1"/>
  <c r="F44"/>
  <c r="F195" s="1"/>
  <c r="F45"/>
  <c r="F196" s="1"/>
  <c r="F46"/>
  <c r="F197" s="1"/>
  <c r="F42"/>
  <c r="F193" s="1"/>
  <c r="H29" i="46"/>
  <c r="H30" s="1"/>
  <c r="F59" i="54" l="1"/>
  <c r="E130" i="44" l="1"/>
  <c r="F57" i="42" l="1"/>
  <c r="F29" i="43" l="1"/>
  <c r="E114" i="49"/>
  <c r="F29"/>
  <c r="F41" s="1"/>
  <c r="F47" s="1"/>
  <c r="E114" i="51"/>
  <c r="F29"/>
  <c r="F41" s="1"/>
  <c r="F47" s="1"/>
  <c r="F147" s="1"/>
  <c r="F41" i="53"/>
  <c r="F47" s="1"/>
  <c r="F145" s="1"/>
  <c r="F41" i="50"/>
  <c r="F47" s="1"/>
  <c r="F145" s="1"/>
  <c r="F41" i="41"/>
  <c r="F47" s="1"/>
  <c r="F145" s="1"/>
  <c r="M11"/>
  <c r="E136" i="55"/>
  <c r="E130"/>
  <c r="C122"/>
  <c r="C121"/>
  <c r="C120"/>
  <c r="C119"/>
  <c r="C118"/>
  <c r="E112"/>
  <c r="E95"/>
  <c r="E82"/>
  <c r="E74"/>
  <c r="E118" s="1"/>
  <c r="F59"/>
  <c r="F60" s="1"/>
  <c r="F146" s="1"/>
  <c r="E37"/>
  <c r="F29"/>
  <c r="F31" s="1"/>
  <c r="E136" i="54"/>
  <c r="E130"/>
  <c r="C122"/>
  <c r="C121"/>
  <c r="C120"/>
  <c r="C119"/>
  <c r="C118"/>
  <c r="E112"/>
  <c r="E95"/>
  <c r="E82"/>
  <c r="E74"/>
  <c r="E89" s="1"/>
  <c r="E90" s="1"/>
  <c r="E120" s="1"/>
  <c r="F60"/>
  <c r="F146" s="1"/>
  <c r="F47"/>
  <c r="F145" s="1"/>
  <c r="E37"/>
  <c r="F31"/>
  <c r="F33" i="55"/>
  <c r="F36" i="54"/>
  <c r="F34"/>
  <c r="F33"/>
  <c r="F35"/>
  <c r="F30"/>
  <c r="E98"/>
  <c r="F32"/>
  <c r="E136" i="53"/>
  <c r="E130"/>
  <c r="C122"/>
  <c r="C121"/>
  <c r="C120"/>
  <c r="C119"/>
  <c r="C118"/>
  <c r="E112"/>
  <c r="E95"/>
  <c r="E82"/>
  <c r="E74"/>
  <c r="E118" s="1"/>
  <c r="F59"/>
  <c r="F60" s="1"/>
  <c r="F146" s="1"/>
  <c r="E37"/>
  <c r="F36"/>
  <c r="F34"/>
  <c r="F32"/>
  <c r="F30"/>
  <c r="F33"/>
  <c r="F31"/>
  <c r="F35"/>
  <c r="E138" i="51"/>
  <c r="E132"/>
  <c r="C124"/>
  <c r="C123"/>
  <c r="C122"/>
  <c r="C121"/>
  <c r="C120"/>
  <c r="E95"/>
  <c r="E82"/>
  <c r="E74"/>
  <c r="F59"/>
  <c r="F60" s="1"/>
  <c r="F148" s="1"/>
  <c r="E37"/>
  <c r="F35"/>
  <c r="F32"/>
  <c r="E136" i="50"/>
  <c r="E130"/>
  <c r="C122"/>
  <c r="C121"/>
  <c r="C120"/>
  <c r="C119"/>
  <c r="C118"/>
  <c r="E112"/>
  <c r="E95"/>
  <c r="E82"/>
  <c r="E74"/>
  <c r="E89" s="1"/>
  <c r="E90" s="1"/>
  <c r="E120" s="1"/>
  <c r="F59"/>
  <c r="F60" s="1"/>
  <c r="F146" s="1"/>
  <c r="E37"/>
  <c r="F36"/>
  <c r="F35"/>
  <c r="F34"/>
  <c r="F32"/>
  <c r="F30"/>
  <c r="F33"/>
  <c r="E138" i="49"/>
  <c r="E132"/>
  <c r="C124"/>
  <c r="C123"/>
  <c r="C122"/>
  <c r="C121"/>
  <c r="C120"/>
  <c r="E95"/>
  <c r="E82"/>
  <c r="E74"/>
  <c r="F59"/>
  <c r="F60" s="1"/>
  <c r="F148" s="1"/>
  <c r="F147"/>
  <c r="E37"/>
  <c r="F32"/>
  <c r="F30"/>
  <c r="E136" i="48"/>
  <c r="E130"/>
  <c r="C122"/>
  <c r="C121"/>
  <c r="C120"/>
  <c r="C119"/>
  <c r="C118"/>
  <c r="E112"/>
  <c r="E95"/>
  <c r="E82"/>
  <c r="E74"/>
  <c r="E89" s="1"/>
  <c r="E90" s="1"/>
  <c r="E120" s="1"/>
  <c r="F59"/>
  <c r="F60" s="1"/>
  <c r="F146" s="1"/>
  <c r="E37"/>
  <c r="F29"/>
  <c r="F41" s="1"/>
  <c r="F47" s="1"/>
  <c r="F145" s="1"/>
  <c r="E136" i="46"/>
  <c r="E130"/>
  <c r="C122"/>
  <c r="C121"/>
  <c r="C120"/>
  <c r="C119"/>
  <c r="C118"/>
  <c r="E112"/>
  <c r="E95"/>
  <c r="E82"/>
  <c r="E74"/>
  <c r="E89" s="1"/>
  <c r="E90" s="1"/>
  <c r="E120" s="1"/>
  <c r="F59"/>
  <c r="F60" s="1"/>
  <c r="F146" s="1"/>
  <c r="E37"/>
  <c r="F41"/>
  <c r="F47" s="1"/>
  <c r="F145" s="1"/>
  <c r="F35"/>
  <c r="F31"/>
  <c r="F33"/>
  <c r="F30"/>
  <c r="F34"/>
  <c r="F32"/>
  <c r="E136" i="45"/>
  <c r="E130"/>
  <c r="C122"/>
  <c r="C121"/>
  <c r="C120"/>
  <c r="C119"/>
  <c r="C118"/>
  <c r="E112"/>
  <c r="E95"/>
  <c r="E82"/>
  <c r="E74"/>
  <c r="E118" s="1"/>
  <c r="F59"/>
  <c r="F60" s="1"/>
  <c r="F146" s="1"/>
  <c r="E37"/>
  <c r="F29"/>
  <c r="F41" s="1"/>
  <c r="F47" s="1"/>
  <c r="F145" s="1"/>
  <c r="E136" i="44"/>
  <c r="C122"/>
  <c r="C121"/>
  <c r="C120"/>
  <c r="C119"/>
  <c r="C118"/>
  <c r="E112"/>
  <c r="E95"/>
  <c r="E82"/>
  <c r="E74"/>
  <c r="E89" s="1"/>
  <c r="E90" s="1"/>
  <c r="E120" s="1"/>
  <c r="F59"/>
  <c r="F60" s="1"/>
  <c r="F146" s="1"/>
  <c r="E37"/>
  <c r="F29"/>
  <c r="F33" s="1"/>
  <c r="E137" i="43"/>
  <c r="E131"/>
  <c r="C123"/>
  <c r="C122"/>
  <c r="C121"/>
  <c r="C120"/>
  <c r="C119"/>
  <c r="E113"/>
  <c r="E96"/>
  <c r="E83"/>
  <c r="E75"/>
  <c r="E90" s="1"/>
  <c r="E91" s="1"/>
  <c r="E121" s="1"/>
  <c r="F60"/>
  <c r="F61" s="1"/>
  <c r="F147" s="1"/>
  <c r="F48"/>
  <c r="F146" s="1"/>
  <c r="E37"/>
  <c r="E136" i="42"/>
  <c r="E130"/>
  <c r="C122"/>
  <c r="C121"/>
  <c r="C120"/>
  <c r="C119"/>
  <c r="C118"/>
  <c r="E112"/>
  <c r="E95"/>
  <c r="E82"/>
  <c r="E74"/>
  <c r="E89" s="1"/>
  <c r="E90" s="1"/>
  <c r="E120" s="1"/>
  <c r="F59"/>
  <c r="F60" s="1"/>
  <c r="F146" s="1"/>
  <c r="E37"/>
  <c r="F29"/>
  <c r="F41" s="1"/>
  <c r="F47" s="1"/>
  <c r="F145" s="1"/>
  <c r="M23" i="41"/>
  <c r="M21"/>
  <c r="E154"/>
  <c r="C154"/>
  <c r="O2"/>
  <c r="J2"/>
  <c r="E163"/>
  <c r="E164"/>
  <c r="E165"/>
  <c r="E167"/>
  <c r="F180"/>
  <c r="F181"/>
  <c r="F182"/>
  <c r="F183"/>
  <c r="F184"/>
  <c r="F185"/>
  <c r="F186"/>
  <c r="F187"/>
  <c r="E188"/>
  <c r="F208"/>
  <c r="F294" s="1"/>
  <c r="E230"/>
  <c r="C266"/>
  <c r="C267"/>
  <c r="C268"/>
  <c r="C269"/>
  <c r="C270"/>
  <c r="E278"/>
  <c r="E284"/>
  <c r="E130"/>
  <c r="C122"/>
  <c r="C121"/>
  <c r="C120"/>
  <c r="C119"/>
  <c r="C118"/>
  <c r="E82"/>
  <c r="E74"/>
  <c r="E98" s="1"/>
  <c r="E37"/>
  <c r="M31"/>
  <c r="P31" s="1"/>
  <c r="M33"/>
  <c r="P33" s="1"/>
  <c r="M13"/>
  <c r="E260"/>
  <c r="E243"/>
  <c r="E222"/>
  <c r="E246" s="1"/>
  <c r="E136"/>
  <c r="F33"/>
  <c r="F36"/>
  <c r="F30"/>
  <c r="F34"/>
  <c r="F32"/>
  <c r="E95"/>
  <c r="E112"/>
  <c r="F35"/>
  <c r="K3" i="3"/>
  <c r="K4" s="1"/>
  <c r="S3"/>
  <c r="S4" s="1"/>
  <c r="B8"/>
  <c r="B9" s="1"/>
  <c r="G8"/>
  <c r="G9" s="1"/>
  <c r="D8"/>
  <c r="D9" s="1"/>
  <c r="E8"/>
  <c r="E9" s="1"/>
  <c r="O8"/>
  <c r="O9" s="1"/>
  <c r="M8"/>
  <c r="M9" s="1"/>
  <c r="B3"/>
  <c r="F3"/>
  <c r="F4" s="1"/>
  <c r="I3"/>
  <c r="I4" s="1"/>
  <c r="C3"/>
  <c r="C4" s="1"/>
  <c r="N3"/>
  <c r="N4" s="1"/>
  <c r="T3"/>
  <c r="T4" s="1"/>
  <c r="P3"/>
  <c r="P4" s="1"/>
  <c r="L3"/>
  <c r="L4" s="1"/>
  <c r="H3"/>
  <c r="H4" s="1"/>
  <c r="D3"/>
  <c r="D4" s="1"/>
  <c r="U3"/>
  <c r="U4" s="1"/>
  <c r="O3"/>
  <c r="O4" s="1"/>
  <c r="J3"/>
  <c r="J4" s="1"/>
  <c r="E3"/>
  <c r="E4" s="1"/>
  <c r="W3"/>
  <c r="W4" s="1"/>
  <c r="R3"/>
  <c r="R4" s="1"/>
  <c r="M3"/>
  <c r="G3"/>
  <c r="G4" s="1"/>
  <c r="Q3"/>
  <c r="Q4" s="1"/>
  <c r="F8"/>
  <c r="F9" s="1"/>
  <c r="J8"/>
  <c r="J9" s="1"/>
  <c r="N8"/>
  <c r="N9" s="1"/>
  <c r="R8"/>
  <c r="R9" s="1"/>
  <c r="V8"/>
  <c r="V9" s="1"/>
  <c r="V3"/>
  <c r="V4" s="1"/>
  <c r="P8"/>
  <c r="P9" s="1"/>
  <c r="F59" i="41"/>
  <c r="T8" i="3"/>
  <c r="T9" s="1"/>
  <c r="I8"/>
  <c r="I9" s="1"/>
  <c r="H8"/>
  <c r="H9" s="1"/>
  <c r="C8"/>
  <c r="C9" s="1"/>
  <c r="S8"/>
  <c r="S9" s="1"/>
  <c r="Q8"/>
  <c r="Q9" s="1"/>
  <c r="U8"/>
  <c r="U9" s="1"/>
  <c r="L8"/>
  <c r="L9" s="1"/>
  <c r="W8"/>
  <c r="W9" s="1"/>
  <c r="K8"/>
  <c r="K9" s="1"/>
  <c r="W7"/>
  <c r="V7"/>
  <c r="U7"/>
  <c r="T7"/>
  <c r="S7"/>
  <c r="R7"/>
  <c r="Q7"/>
  <c r="P7"/>
  <c r="O7"/>
  <c r="N7"/>
  <c r="M7"/>
  <c r="L7"/>
  <c r="K7"/>
  <c r="J7"/>
  <c r="I7"/>
  <c r="H7"/>
  <c r="G7"/>
  <c r="F7"/>
  <c r="E7"/>
  <c r="D7"/>
  <c r="C7"/>
  <c r="B7"/>
  <c r="M4"/>
  <c r="B4"/>
  <c r="W2"/>
  <c r="V2"/>
  <c r="U2"/>
  <c r="T2"/>
  <c r="S2"/>
  <c r="R2"/>
  <c r="Q2"/>
  <c r="P2"/>
  <c r="O2"/>
  <c r="N2"/>
  <c r="M2"/>
  <c r="L2"/>
  <c r="K2"/>
  <c r="J2"/>
  <c r="I2"/>
  <c r="H2"/>
  <c r="G2"/>
  <c r="F2"/>
  <c r="E2"/>
  <c r="D2"/>
  <c r="C2"/>
  <c r="B2"/>
  <c r="E266" i="41" l="1"/>
  <c r="F36" i="51"/>
  <c r="F35" i="49"/>
  <c r="F34"/>
  <c r="F31"/>
  <c r="F33" i="51"/>
  <c r="F30"/>
  <c r="F31"/>
  <c r="F34"/>
  <c r="E98" i="42"/>
  <c r="E100" s="1"/>
  <c r="E121" s="1"/>
  <c r="E115" i="51"/>
  <c r="E116" s="1"/>
  <c r="E124" s="1"/>
  <c r="E83" i="42"/>
  <c r="E84" s="1"/>
  <c r="E119" s="1"/>
  <c r="E237" i="41"/>
  <c r="E238" s="1"/>
  <c r="E268" s="1"/>
  <c r="F31" i="42"/>
  <c r="F33" i="49"/>
  <c r="F36"/>
  <c r="F32" i="55"/>
  <c r="F35"/>
  <c r="F41"/>
  <c r="F47" s="1"/>
  <c r="F145" s="1"/>
  <c r="F34"/>
  <c r="F36"/>
  <c r="F30"/>
  <c r="F37" i="53"/>
  <c r="F111" s="1"/>
  <c r="F35" i="45"/>
  <c r="F33"/>
  <c r="F36"/>
  <c r="E113" i="44"/>
  <c r="E114" s="1"/>
  <c r="E122" s="1"/>
  <c r="F32" i="42"/>
  <c r="F33"/>
  <c r="F32" i="48"/>
  <c r="E120" i="51"/>
  <c r="E261" i="41"/>
  <c r="E262" s="1"/>
  <c r="E270" s="1"/>
  <c r="F35" i="42"/>
  <c r="F36"/>
  <c r="E113"/>
  <c r="E114" s="1"/>
  <c r="E122" s="1"/>
  <c r="E248" i="41"/>
  <c r="E269" s="1"/>
  <c r="E100"/>
  <c r="E121" s="1"/>
  <c r="F37"/>
  <c r="F111" s="1"/>
  <c r="F34" i="42"/>
  <c r="E98" i="44"/>
  <c r="E100" s="1"/>
  <c r="E121" s="1"/>
  <c r="F34" i="45"/>
  <c r="F33" i="48"/>
  <c r="F36"/>
  <c r="E98" i="51"/>
  <c r="E100" s="1"/>
  <c r="E123" s="1"/>
  <c r="E89"/>
  <c r="E90" s="1"/>
  <c r="E122" s="1"/>
  <c r="E285" i="41"/>
  <c r="F34" i="48"/>
  <c r="F31"/>
  <c r="E98" i="46"/>
  <c r="E100" s="1"/>
  <c r="E121" s="1"/>
  <c r="F30" i="48"/>
  <c r="F35"/>
  <c r="E113" i="53"/>
  <c r="E114" s="1"/>
  <c r="E122" s="1"/>
  <c r="E98"/>
  <c r="E100" s="1"/>
  <c r="E121" s="1"/>
  <c r="E137" i="55"/>
  <c r="E139" i="49"/>
  <c r="E137" i="53"/>
  <c r="E137" i="48"/>
  <c r="E137" i="46"/>
  <c r="E98" i="55"/>
  <c r="E100" s="1"/>
  <c r="E121" s="1"/>
  <c r="E83"/>
  <c r="E89"/>
  <c r="E90" s="1"/>
  <c r="E120" s="1"/>
  <c r="E113"/>
  <c r="E114" s="1"/>
  <c r="E122" s="1"/>
  <c r="E137" i="54"/>
  <c r="E83"/>
  <c r="E84" s="1"/>
  <c r="E119" s="1"/>
  <c r="E113"/>
  <c r="E114" s="1"/>
  <c r="E122" s="1"/>
  <c r="E118"/>
  <c r="E100"/>
  <c r="E121" s="1"/>
  <c r="E139" i="51"/>
  <c r="E89" i="53"/>
  <c r="E90" s="1"/>
  <c r="E120" s="1"/>
  <c r="E113" i="48"/>
  <c r="E114" s="1"/>
  <c r="E122" s="1"/>
  <c r="E98"/>
  <c r="E100" s="1"/>
  <c r="E121" s="1"/>
  <c r="E118"/>
  <c r="E83" i="46"/>
  <c r="E84" s="1"/>
  <c r="E119" s="1"/>
  <c r="E118"/>
  <c r="E113" i="45"/>
  <c r="E114" s="1"/>
  <c r="E122" s="1"/>
  <c r="E83"/>
  <c r="E84" s="1"/>
  <c r="E119" s="1"/>
  <c r="E98"/>
  <c r="E100" s="1"/>
  <c r="E121" s="1"/>
  <c r="E89"/>
  <c r="E90" s="1"/>
  <c r="E120" s="1"/>
  <c r="E98" i="50"/>
  <c r="E100" s="1"/>
  <c r="E121" s="1"/>
  <c r="E83"/>
  <c r="E84" s="1"/>
  <c r="E119" s="1"/>
  <c r="E137"/>
  <c r="E137" i="44"/>
  <c r="E138" i="43"/>
  <c r="E137" i="42"/>
  <c r="E137" i="41"/>
  <c r="E118" i="44"/>
  <c r="E83"/>
  <c r="E84" s="1"/>
  <c r="E119" s="1"/>
  <c r="E84" i="43"/>
  <c r="E85" s="1"/>
  <c r="E120" s="1"/>
  <c r="E99"/>
  <c r="E101" s="1"/>
  <c r="E122" s="1"/>
  <c r="E119"/>
  <c r="E114"/>
  <c r="E115" s="1"/>
  <c r="E123" s="1"/>
  <c r="E118" i="42"/>
  <c r="E118" i="41"/>
  <c r="E83"/>
  <c r="E84" s="1"/>
  <c r="E119" s="1"/>
  <c r="E89"/>
  <c r="E90" s="1"/>
  <c r="E120" s="1"/>
  <c r="E113"/>
  <c r="E114" s="1"/>
  <c r="E122" s="1"/>
  <c r="F109"/>
  <c r="F68"/>
  <c r="F96"/>
  <c r="F81"/>
  <c r="F188"/>
  <c r="F192"/>
  <c r="F198" s="1"/>
  <c r="F293" s="1"/>
  <c r="E231"/>
  <c r="E232" s="1"/>
  <c r="E267" s="1"/>
  <c r="F30" i="42"/>
  <c r="F30" i="44"/>
  <c r="E137" i="45"/>
  <c r="E83" i="48"/>
  <c r="E84" s="1"/>
  <c r="E119" s="1"/>
  <c r="F41" i="44"/>
  <c r="F47" s="1"/>
  <c r="F145" s="1"/>
  <c r="F34"/>
  <c r="F35"/>
  <c r="F32"/>
  <c r="F31"/>
  <c r="F36"/>
  <c r="E115" i="49"/>
  <c r="E116" s="1"/>
  <c r="E124" s="1"/>
  <c r="E120"/>
  <c r="E89"/>
  <c r="E90" s="1"/>
  <c r="E122" s="1"/>
  <c r="E83"/>
  <c r="E84" s="1"/>
  <c r="E121" s="1"/>
  <c r="E98"/>
  <c r="E100" s="1"/>
  <c r="E123" s="1"/>
  <c r="E83" i="51"/>
  <c r="E84" s="1"/>
  <c r="E121" s="1"/>
  <c r="E84" i="55"/>
  <c r="E119" s="1"/>
  <c r="F32" i="45"/>
  <c r="F31"/>
  <c r="F36" i="46"/>
  <c r="F37" s="1"/>
  <c r="E113"/>
  <c r="E114" s="1"/>
  <c r="E122" s="1"/>
  <c r="F37" i="54"/>
  <c r="F94" s="1"/>
  <c r="F31" i="43"/>
  <c r="F34"/>
  <c r="F30"/>
  <c r="F33"/>
  <c r="F30" i="45"/>
  <c r="F37" i="50"/>
  <c r="F99" s="1"/>
  <c r="E113"/>
  <c r="E114" s="1"/>
  <c r="E122" s="1"/>
  <c r="E83" i="53"/>
  <c r="E84" s="1"/>
  <c r="E119" s="1"/>
  <c r="E118" i="50"/>
  <c r="F60" i="41"/>
  <c r="F146" s="1"/>
  <c r="F67" i="54"/>
  <c r="F111" i="50"/>
  <c r="F36" i="43"/>
  <c r="F32"/>
  <c r="F35"/>
  <c r="F144" i="50" l="1"/>
  <c r="F144" i="41"/>
  <c r="F97"/>
  <c r="F98" s="1"/>
  <c r="F108"/>
  <c r="F70"/>
  <c r="F73" i="50"/>
  <c r="F94" i="41"/>
  <c r="F108" i="53"/>
  <c r="F66"/>
  <c r="F37" i="51"/>
  <c r="F108" s="1"/>
  <c r="F68" i="54"/>
  <c r="F99"/>
  <c r="F106" i="41"/>
  <c r="F70" i="54"/>
  <c r="F88" i="41"/>
  <c r="F89" s="1"/>
  <c r="F90" s="1"/>
  <c r="F120" s="1"/>
  <c r="F107" i="50"/>
  <c r="F66"/>
  <c r="F37" i="49"/>
  <c r="F67" s="1"/>
  <c r="E272" i="41"/>
  <c r="F66" i="54"/>
  <c r="F111"/>
  <c r="F69"/>
  <c r="F109"/>
  <c r="F88"/>
  <c r="F89" s="1"/>
  <c r="F90" s="1"/>
  <c r="F120" s="1"/>
  <c r="F37" i="55"/>
  <c r="F80" s="1"/>
  <c r="F72" i="49"/>
  <c r="F81"/>
  <c r="F108"/>
  <c r="F68"/>
  <c r="F99"/>
  <c r="F113"/>
  <c r="F80"/>
  <c r="F71"/>
  <c r="F69"/>
  <c r="F66"/>
  <c r="F70"/>
  <c r="F73"/>
  <c r="F111"/>
  <c r="F94"/>
  <c r="F95" s="1"/>
  <c r="F110"/>
  <c r="F146"/>
  <c r="F88"/>
  <c r="F89" s="1"/>
  <c r="F90" s="1"/>
  <c r="F122" s="1"/>
  <c r="F106"/>
  <c r="F94" i="53"/>
  <c r="F95" s="1"/>
  <c r="F67" i="51"/>
  <c r="F69" i="53"/>
  <c r="F69" i="51"/>
  <c r="F73" i="54"/>
  <c r="F96"/>
  <c r="F144"/>
  <c r="F71"/>
  <c r="F97"/>
  <c r="F98" s="1"/>
  <c r="F99" i="53"/>
  <c r="F107"/>
  <c r="F81" i="54"/>
  <c r="F110"/>
  <c r="F108"/>
  <c r="F68" i="53"/>
  <c r="F111" i="51"/>
  <c r="F109"/>
  <c r="F72" i="41"/>
  <c r="F99"/>
  <c r="F110"/>
  <c r="E124" i="42"/>
  <c r="F66" i="41"/>
  <c r="F96" i="55"/>
  <c r="F71"/>
  <c r="F110"/>
  <c r="F108"/>
  <c r="F107"/>
  <c r="F72"/>
  <c r="F70"/>
  <c r="F73"/>
  <c r="F67"/>
  <c r="F106"/>
  <c r="F81"/>
  <c r="F73" i="53"/>
  <c r="F81"/>
  <c r="F96"/>
  <c r="F72"/>
  <c r="F88"/>
  <c r="F89" s="1"/>
  <c r="F90" s="1"/>
  <c r="F120" s="1"/>
  <c r="F97"/>
  <c r="F98" s="1"/>
  <c r="F80"/>
  <c r="F106"/>
  <c r="F70"/>
  <c r="F67"/>
  <c r="F71"/>
  <c r="F109"/>
  <c r="F144"/>
  <c r="F110"/>
  <c r="E124" i="45"/>
  <c r="F109" i="50"/>
  <c r="F81"/>
  <c r="F82" s="1"/>
  <c r="F67"/>
  <c r="F94"/>
  <c r="F95" s="1"/>
  <c r="F71"/>
  <c r="F69"/>
  <c r="F110"/>
  <c r="F108"/>
  <c r="F68"/>
  <c r="F106"/>
  <c r="F112" s="1"/>
  <c r="F72"/>
  <c r="F70"/>
  <c r="F88"/>
  <c r="F89" s="1"/>
  <c r="F90" s="1"/>
  <c r="F120" s="1"/>
  <c r="F80"/>
  <c r="F96"/>
  <c r="F97"/>
  <c r="F98" s="1"/>
  <c r="F73" i="41"/>
  <c r="F80"/>
  <c r="F82" s="1"/>
  <c r="F83" s="1"/>
  <c r="F84" s="1"/>
  <c r="F119" s="1"/>
  <c r="E126" i="51"/>
  <c r="F80"/>
  <c r="E125" i="43"/>
  <c r="F113" i="51"/>
  <c r="F37" i="42"/>
  <c r="F88" s="1"/>
  <c r="F71" i="51"/>
  <c r="F110"/>
  <c r="F66"/>
  <c r="F70"/>
  <c r="F94"/>
  <c r="F95" s="1"/>
  <c r="F96"/>
  <c r="F73"/>
  <c r="F88"/>
  <c r="F89" s="1"/>
  <c r="F90" s="1"/>
  <c r="F122" s="1"/>
  <c r="F112"/>
  <c r="F68"/>
  <c r="F97"/>
  <c r="F98" s="1"/>
  <c r="F72"/>
  <c r="F81"/>
  <c r="F107"/>
  <c r="F99"/>
  <c r="F106"/>
  <c r="E124" i="53"/>
  <c r="F69" i="41"/>
  <c r="F67"/>
  <c r="F107"/>
  <c r="F71"/>
  <c r="F37" i="43"/>
  <c r="F95" s="1"/>
  <c r="F37" i="45"/>
  <c r="E124" i="46"/>
  <c r="E124" i="41"/>
  <c r="F37" i="44"/>
  <c r="F107" s="1"/>
  <c r="E124" i="54"/>
  <c r="F37" i="48"/>
  <c r="E124" i="55"/>
  <c r="E124" i="48"/>
  <c r="E124" i="44"/>
  <c r="F99" i="46"/>
  <c r="F66"/>
  <c r="F106"/>
  <c r="F97"/>
  <c r="F98" s="1"/>
  <c r="F88"/>
  <c r="F108"/>
  <c r="F80"/>
  <c r="F94"/>
  <c r="F111"/>
  <c r="F68"/>
  <c r="F144"/>
  <c r="F81"/>
  <c r="F69"/>
  <c r="F73"/>
  <c r="F107"/>
  <c r="F110"/>
  <c r="F109"/>
  <c r="F96"/>
  <c r="F72"/>
  <c r="F70"/>
  <c r="F67"/>
  <c r="F71"/>
  <c r="F107" i="54"/>
  <c r="F106"/>
  <c r="F72"/>
  <c r="F80"/>
  <c r="F228" i="41"/>
  <c r="F245"/>
  <c r="F246" s="1"/>
  <c r="F255"/>
  <c r="F242"/>
  <c r="F216"/>
  <c r="F244"/>
  <c r="F247"/>
  <c r="F220"/>
  <c r="F221"/>
  <c r="F229"/>
  <c r="F215"/>
  <c r="F256"/>
  <c r="F218"/>
  <c r="F254"/>
  <c r="F259"/>
  <c r="F257"/>
  <c r="F219"/>
  <c r="F292"/>
  <c r="F258"/>
  <c r="F217"/>
  <c r="F214"/>
  <c r="F236"/>
  <c r="E126" i="49"/>
  <c r="F81" i="42"/>
  <c r="F97"/>
  <c r="F98" s="1"/>
  <c r="F99"/>
  <c r="F71"/>
  <c r="F70"/>
  <c r="F68"/>
  <c r="F94"/>
  <c r="F69"/>
  <c r="F95" i="41"/>
  <c r="E124" i="50"/>
  <c r="F95" i="54"/>
  <c r="F100" i="43"/>
  <c r="F100" i="53" l="1"/>
  <c r="F121" s="1"/>
  <c r="F100" i="54"/>
  <c r="F121" s="1"/>
  <c r="F108" i="42"/>
  <c r="F112" i="53"/>
  <c r="F113" s="1"/>
  <c r="F114" s="1"/>
  <c r="F122" s="1"/>
  <c r="F80" i="42"/>
  <c r="F82" s="1"/>
  <c r="F83" s="1"/>
  <c r="F84" s="1"/>
  <c r="F119" s="1"/>
  <c r="F66"/>
  <c r="F109" i="49"/>
  <c r="F96"/>
  <c r="F100" s="1"/>
  <c r="F123" s="1"/>
  <c r="F97"/>
  <c r="F98" s="1"/>
  <c r="F146" i="51"/>
  <c r="F112" i="49"/>
  <c r="F107"/>
  <c r="F72" i="43"/>
  <c r="F145"/>
  <c r="F89"/>
  <c r="F82" i="51"/>
  <c r="F83" s="1"/>
  <c r="F84" s="1"/>
  <c r="F121" s="1"/>
  <c r="F109" i="55"/>
  <c r="F111"/>
  <c r="F94"/>
  <c r="F95" s="1"/>
  <c r="F99"/>
  <c r="F66"/>
  <c r="F144"/>
  <c r="F109" i="43"/>
  <c r="F71"/>
  <c r="F97" i="55"/>
  <c r="F98" s="1"/>
  <c r="F69"/>
  <c r="F88"/>
  <c r="F89" s="1"/>
  <c r="F90" s="1"/>
  <c r="F120" s="1"/>
  <c r="F68"/>
  <c r="F114" i="49"/>
  <c r="F115" s="1"/>
  <c r="F116" s="1"/>
  <c r="F124" s="1"/>
  <c r="F144" i="44"/>
  <c r="F74" i="49"/>
  <c r="F120" s="1"/>
  <c r="F114" i="51"/>
  <c r="F115" s="1"/>
  <c r="F116" s="1"/>
  <c r="F124" s="1"/>
  <c r="F82" i="53"/>
  <c r="F83" s="1"/>
  <c r="F84" s="1"/>
  <c r="F119" s="1"/>
  <c r="F82" i="55"/>
  <c r="F82" i="54"/>
  <c r="F83" s="1"/>
  <c r="F84" s="1"/>
  <c r="F119" s="1"/>
  <c r="F66" i="44"/>
  <c r="F74" i="51"/>
  <c r="F120" s="1"/>
  <c r="F73" i="43"/>
  <c r="F74"/>
  <c r="F73" i="42"/>
  <c r="F107"/>
  <c r="F72"/>
  <c r="F109"/>
  <c r="F144"/>
  <c r="F96"/>
  <c r="F74" i="54"/>
  <c r="F118" s="1"/>
  <c r="F74" i="53"/>
  <c r="F118" s="1"/>
  <c r="F110" i="43"/>
  <c r="F69"/>
  <c r="F111"/>
  <c r="F100" i="41"/>
  <c r="F121" s="1"/>
  <c r="F106" i="42"/>
  <c r="F67"/>
  <c r="F110"/>
  <c r="F111"/>
  <c r="F73" i="44"/>
  <c r="F112" i="41"/>
  <c r="F113" s="1"/>
  <c r="F114" s="1"/>
  <c r="F122" s="1"/>
  <c r="F82" i="49"/>
  <c r="F83" s="1"/>
  <c r="F84" s="1"/>
  <c r="F121" s="1"/>
  <c r="F74" i="50"/>
  <c r="F118" s="1"/>
  <c r="F100"/>
  <c r="F121" s="1"/>
  <c r="F74" i="41"/>
  <c r="F118" s="1"/>
  <c r="F67" i="44"/>
  <c r="F70"/>
  <c r="F108"/>
  <c r="F82" i="43"/>
  <c r="F97"/>
  <c r="F112"/>
  <c r="F68"/>
  <c r="F107"/>
  <c r="F67"/>
  <c r="F100" i="51"/>
  <c r="F123" s="1"/>
  <c r="F96" i="44"/>
  <c r="F69"/>
  <c r="F80"/>
  <c r="F112" i="54"/>
  <c r="F113" s="1"/>
  <c r="F114" s="1"/>
  <c r="F122" s="1"/>
  <c r="F70" i="43"/>
  <c r="F81"/>
  <c r="F108"/>
  <c r="F98"/>
  <c r="F99" s="1"/>
  <c r="F111" i="44"/>
  <c r="F72"/>
  <c r="F109"/>
  <c r="F68"/>
  <c r="F88"/>
  <c r="F89" s="1"/>
  <c r="F90" s="1"/>
  <c r="F120" s="1"/>
  <c r="F99"/>
  <c r="F106"/>
  <c r="F94"/>
  <c r="F95" s="1"/>
  <c r="F110"/>
  <c r="F97"/>
  <c r="F98" s="1"/>
  <c r="F71"/>
  <c r="F81"/>
  <c r="F222" i="41"/>
  <c r="F266" s="1"/>
  <c r="F73" i="48"/>
  <c r="F88"/>
  <c r="F89" s="1"/>
  <c r="F90" s="1"/>
  <c r="F120" s="1"/>
  <c r="F106"/>
  <c r="F69"/>
  <c r="F110"/>
  <c r="F68"/>
  <c r="F108"/>
  <c r="F72"/>
  <c r="F96"/>
  <c r="F97"/>
  <c r="F98" s="1"/>
  <c r="F107"/>
  <c r="F111"/>
  <c r="F81"/>
  <c r="F70"/>
  <c r="F66"/>
  <c r="F144"/>
  <c r="F109"/>
  <c r="F67"/>
  <c r="F99"/>
  <c r="F71"/>
  <c r="F80"/>
  <c r="F82" s="1"/>
  <c r="F83" s="1"/>
  <c r="F84" s="1"/>
  <c r="F119" s="1"/>
  <c r="F94"/>
  <c r="F95" s="1"/>
  <c r="F66" i="45"/>
  <c r="F106"/>
  <c r="F88"/>
  <c r="F89" s="1"/>
  <c r="F90" s="1"/>
  <c r="F120" s="1"/>
  <c r="F109"/>
  <c r="F69"/>
  <c r="F96"/>
  <c r="F80"/>
  <c r="F73"/>
  <c r="F107"/>
  <c r="F68"/>
  <c r="F71"/>
  <c r="F72"/>
  <c r="F81"/>
  <c r="F110"/>
  <c r="F111"/>
  <c r="F144"/>
  <c r="F94"/>
  <c r="F95" s="1"/>
  <c r="F108"/>
  <c r="F99"/>
  <c r="F67"/>
  <c r="F70"/>
  <c r="F97"/>
  <c r="F98" s="1"/>
  <c r="F243" i="41"/>
  <c r="F248" s="1"/>
  <c r="F269" s="1"/>
  <c r="F95" i="46"/>
  <c r="F100" s="1"/>
  <c r="F121" s="1"/>
  <c r="F89" i="42"/>
  <c r="F90" s="1"/>
  <c r="F120" s="1"/>
  <c r="F82" i="46"/>
  <c r="F112"/>
  <c r="F95" i="42"/>
  <c r="F237" i="41"/>
  <c r="F238" s="1"/>
  <c r="F268" s="1"/>
  <c r="F260"/>
  <c r="F74" i="46"/>
  <c r="F118" s="1"/>
  <c r="F82" i="44"/>
  <c r="F230" i="41"/>
  <c r="F89" i="46"/>
  <c r="F90" s="1"/>
  <c r="F120" s="1"/>
  <c r="F83" i="55"/>
  <c r="F84" s="1"/>
  <c r="F119" s="1"/>
  <c r="F113" i="50"/>
  <c r="F114" s="1"/>
  <c r="F122" s="1"/>
  <c r="F83"/>
  <c r="F84" s="1"/>
  <c r="F119" s="1"/>
  <c r="F96" i="43"/>
  <c r="F90"/>
  <c r="F91" s="1"/>
  <c r="F121" s="1"/>
  <c r="F100" i="55" l="1"/>
  <c r="F121" s="1"/>
  <c r="F112"/>
  <c r="F113" s="1"/>
  <c r="F114" s="1"/>
  <c r="F122" s="1"/>
  <c r="F126" i="49"/>
  <c r="F149" s="1"/>
  <c r="F150" s="1"/>
  <c r="F74" i="55"/>
  <c r="F118" s="1"/>
  <c r="F124" s="1"/>
  <c r="F147" s="1"/>
  <c r="F148" s="1"/>
  <c r="F128" s="1"/>
  <c r="F129" s="1"/>
  <c r="F124" i="53"/>
  <c r="F147" s="1"/>
  <c r="F148" s="1"/>
  <c r="F128" s="1"/>
  <c r="F75" i="43"/>
  <c r="F119" s="1"/>
  <c r="F74" i="42"/>
  <c r="F118" s="1"/>
  <c r="F124" i="54"/>
  <c r="F147" s="1"/>
  <c r="F148" s="1"/>
  <c r="F128" s="1"/>
  <c r="F113" i="43"/>
  <c r="F100" i="42"/>
  <c r="F121" s="1"/>
  <c r="F112"/>
  <c r="F113" s="1"/>
  <c r="F114" s="1"/>
  <c r="F122" s="1"/>
  <c r="F126" i="51"/>
  <c r="F149" s="1"/>
  <c r="F150" s="1"/>
  <c r="F130" s="1"/>
  <c r="F131" s="1"/>
  <c r="F136" s="1"/>
  <c r="F101" i="43"/>
  <c r="F122" s="1"/>
  <c r="F83"/>
  <c r="F84" s="1"/>
  <c r="F85" s="1"/>
  <c r="F120" s="1"/>
  <c r="F124" i="41"/>
  <c r="F147" s="1"/>
  <c r="F148" s="1"/>
  <c r="F128" s="1"/>
  <c r="F112" i="44"/>
  <c r="F113" s="1"/>
  <c r="F114" s="1"/>
  <c r="F122" s="1"/>
  <c r="F74"/>
  <c r="F118" s="1"/>
  <c r="F100"/>
  <c r="F121" s="1"/>
  <c r="F100" i="45"/>
  <c r="F121" s="1"/>
  <c r="F74"/>
  <c r="F118" s="1"/>
  <c r="F74" i="48"/>
  <c r="F118" s="1"/>
  <c r="F112"/>
  <c r="F113" s="1"/>
  <c r="F114" s="1"/>
  <c r="F122" s="1"/>
  <c r="F82" i="45"/>
  <c r="F100" i="48"/>
  <c r="F121" s="1"/>
  <c r="F112" i="45"/>
  <c r="F113" s="1"/>
  <c r="F114" s="1"/>
  <c r="F122" s="1"/>
  <c r="F231" i="41"/>
  <c r="F232" s="1"/>
  <c r="F267" s="1"/>
  <c r="F113" i="46"/>
  <c r="F114" s="1"/>
  <c r="F122" s="1"/>
  <c r="F83"/>
  <c r="F84" s="1"/>
  <c r="F119" s="1"/>
  <c r="F124" i="50"/>
  <c r="F147" s="1"/>
  <c r="F148" s="1"/>
  <c r="F128" s="1"/>
  <c r="F83" i="44"/>
  <c r="F84" s="1"/>
  <c r="F119" s="1"/>
  <c r="F261" i="41"/>
  <c r="F262" s="1"/>
  <c r="F270" s="1"/>
  <c r="F130" i="49"/>
  <c r="F114" i="43"/>
  <c r="F115" s="1"/>
  <c r="F123" s="1"/>
  <c r="F124" i="42" l="1"/>
  <c r="F147" s="1"/>
  <c r="F148" s="1"/>
  <c r="F128" s="1"/>
  <c r="F129" s="1"/>
  <c r="F132" s="1"/>
  <c r="F125" i="43"/>
  <c r="F148" s="1"/>
  <c r="F149" s="1"/>
  <c r="F124" i="48"/>
  <c r="F147" s="1"/>
  <c r="F148" s="1"/>
  <c r="F128" s="1"/>
  <c r="F129" s="1"/>
  <c r="F135" s="1"/>
  <c r="F124" i="46"/>
  <c r="F147" s="1"/>
  <c r="F148" s="1"/>
  <c r="F128" s="1"/>
  <c r="F83" i="45"/>
  <c r="F84" s="1"/>
  <c r="F119" s="1"/>
  <c r="F124" s="1"/>
  <c r="F147" s="1"/>
  <c r="F148" s="1"/>
  <c r="F128" s="1"/>
  <c r="F129" s="1"/>
  <c r="F124" i="44"/>
  <c r="F147" s="1"/>
  <c r="F148" s="1"/>
  <c r="F129" i="50"/>
  <c r="F134" s="1"/>
  <c r="F272" i="41"/>
  <c r="F295" s="1"/>
  <c r="F296" s="1"/>
  <c r="F129"/>
  <c r="F135" s="1"/>
  <c r="F131" i="49"/>
  <c r="F132" s="1"/>
  <c r="F134" i="55"/>
  <c r="F132"/>
  <c r="F135"/>
  <c r="F133"/>
  <c r="F130"/>
  <c r="F129" i="54"/>
  <c r="F132" s="1"/>
  <c r="F137" i="51"/>
  <c r="F134"/>
  <c r="F135"/>
  <c r="F132"/>
  <c r="F129" i="53"/>
  <c r="F134" s="1"/>
  <c r="F129" i="43"/>
  <c r="F134" i="48" l="1"/>
  <c r="F130"/>
  <c r="F132"/>
  <c r="F133"/>
  <c r="F130" i="50"/>
  <c r="F132"/>
  <c r="F134" i="42"/>
  <c r="F134" i="49"/>
  <c r="F133" i="50"/>
  <c r="F128" i="44"/>
  <c r="F132" i="41"/>
  <c r="F130"/>
  <c r="F135" i="53"/>
  <c r="F135" i="42"/>
  <c r="F130"/>
  <c r="F134" i="41"/>
  <c r="F133"/>
  <c r="F136" i="49"/>
  <c r="F133" i="42"/>
  <c r="F276" i="41"/>
  <c r="F136" i="55"/>
  <c r="F137" s="1"/>
  <c r="F149" s="1"/>
  <c r="F150" s="1"/>
  <c r="F151" s="1"/>
  <c r="F137" i="49"/>
  <c r="F135"/>
  <c r="F129" i="46"/>
  <c r="F130" s="1"/>
  <c r="F135" i="50"/>
  <c r="F135" i="54"/>
  <c r="F133"/>
  <c r="F134"/>
  <c r="F130"/>
  <c r="F138" i="51"/>
  <c r="F139" s="1"/>
  <c r="F151" s="1"/>
  <c r="F152" s="1"/>
  <c r="F133" i="53"/>
  <c r="F130"/>
  <c r="F132"/>
  <c r="F130" i="45"/>
  <c r="F133"/>
  <c r="F132"/>
  <c r="F135"/>
  <c r="F134"/>
  <c r="F130" i="43"/>
  <c r="F136" s="1"/>
  <c r="F136" i="48" l="1"/>
  <c r="F137" s="1"/>
  <c r="F149" s="1"/>
  <c r="F150" s="1"/>
  <c r="F151" s="1"/>
  <c r="E155" s="1"/>
  <c r="F136" i="50"/>
  <c r="F137" s="1"/>
  <c r="F149" s="1"/>
  <c r="F150" s="1"/>
  <c r="F138" i="49"/>
  <c r="F139" s="1"/>
  <c r="F151" s="1"/>
  <c r="F152" s="1"/>
  <c r="F153" s="1"/>
  <c r="F129" i="44"/>
  <c r="F135" s="1"/>
  <c r="F136" i="42"/>
  <c r="F137" s="1"/>
  <c r="F149" s="1"/>
  <c r="F150" s="1"/>
  <c r="F136" i="41"/>
  <c r="F137" s="1"/>
  <c r="F149" s="1"/>
  <c r="F150" s="1"/>
  <c r="N13" s="1"/>
  <c r="O13" s="1"/>
  <c r="F132" i="46"/>
  <c r="F134"/>
  <c r="F135"/>
  <c r="F133"/>
  <c r="F136" i="45"/>
  <c r="F137" s="1"/>
  <c r="F149" s="1"/>
  <c r="F150" s="1"/>
  <c r="F136" i="54"/>
  <c r="F137" s="1"/>
  <c r="F149" s="1"/>
  <c r="F150" s="1"/>
  <c r="F277" i="41"/>
  <c r="F278" s="1"/>
  <c r="E154" i="55"/>
  <c r="E155"/>
  <c r="F153" i="51"/>
  <c r="F136" i="53"/>
  <c r="F137" s="1"/>
  <c r="F149" s="1"/>
  <c r="F150" s="1"/>
  <c r="F135" i="43"/>
  <c r="F133"/>
  <c r="F134"/>
  <c r="F131"/>
  <c r="E154" i="48" l="1"/>
  <c r="F151" i="50"/>
  <c r="E155" s="1"/>
  <c r="F134" i="44"/>
  <c r="F151" i="54"/>
  <c r="E155" s="1"/>
  <c r="F151" i="45"/>
  <c r="E155" s="1"/>
  <c r="F133" i="44"/>
  <c r="F130"/>
  <c r="F132"/>
  <c r="E154" i="42"/>
  <c r="E155"/>
  <c r="Q33" i="41"/>
  <c r="R33" s="1"/>
  <c r="N23"/>
  <c r="O23" s="1"/>
  <c r="F136" i="46"/>
  <c r="F137" s="1"/>
  <c r="F149" s="1"/>
  <c r="F150" s="1"/>
  <c r="F282" i="41"/>
  <c r="F283"/>
  <c r="F280"/>
  <c r="F281"/>
  <c r="E157" i="49"/>
  <c r="E156"/>
  <c r="E157" i="51"/>
  <c r="E156"/>
  <c r="F151" i="53"/>
  <c r="F137" i="43"/>
  <c r="F138" s="1"/>
  <c r="F150" s="1"/>
  <c r="F151" s="1"/>
  <c r="E154" i="50" l="1"/>
  <c r="F136" i="44"/>
  <c r="F137" s="1"/>
  <c r="F149" s="1"/>
  <c r="F150" s="1"/>
  <c r="E154" i="54"/>
  <c r="E154" i="45"/>
  <c r="F151" i="46"/>
  <c r="F284" i="41"/>
  <c r="F285" s="1"/>
  <c r="F297" s="1"/>
  <c r="F298" s="1"/>
  <c r="N11" s="1"/>
  <c r="E155" i="53"/>
  <c r="E154"/>
  <c r="F152" i="43"/>
  <c r="F151" i="44" l="1"/>
  <c r="E155" s="1"/>
  <c r="O11" i="41"/>
  <c r="O15" s="1"/>
  <c r="N40" s="1"/>
  <c r="P40" s="1"/>
  <c r="N21"/>
  <c r="O21" s="1"/>
  <c r="O25" s="1"/>
  <c r="N41" s="1"/>
  <c r="P41" s="1"/>
  <c r="Q31"/>
  <c r="R31" s="1"/>
  <c r="R35" s="1"/>
  <c r="N42" s="1"/>
  <c r="P42" s="1"/>
  <c r="E155" i="46"/>
  <c r="E154"/>
  <c r="E156" i="43"/>
  <c r="E155"/>
  <c r="E154" i="44" l="1"/>
  <c r="P43" i="41"/>
  <c r="O49" l="1"/>
  <c r="O47"/>
  <c r="I129" l="1"/>
  <c r="J129" i="54" l="1"/>
  <c r="G26" i="56"/>
  <c r="N124" i="124"/>
  <c r="M124"/>
</calcChain>
</file>

<file path=xl/metadata.xml><?xml version="1.0" encoding="utf-8"?>
<metadata xmlns="http://schemas.openxmlformats.org/spreadsheetml/2006/main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 xmlns:xda="http://schemas.microsoft.com/office/spreadsheetml/2017/dynamicarray"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<sst xmlns="http://schemas.openxmlformats.org/spreadsheetml/2006/main" count="4649" uniqueCount="540">
  <si>
    <t>Período</t>
  </si>
  <si>
    <t>múltiplo</t>
  </si>
  <si>
    <t>APODI</t>
  </si>
  <si>
    <t>AP</t>
  </si>
  <si>
    <t>SIM</t>
  </si>
  <si>
    <t>Bienal</t>
  </si>
  <si>
    <t>CAICÓ</t>
  </si>
  <si>
    <t>CA</t>
  </si>
  <si>
    <t>NÃO</t>
  </si>
  <si>
    <t>Anual</t>
  </si>
  <si>
    <t>CANGUARETAMA</t>
  </si>
  <si>
    <t>CANG</t>
  </si>
  <si>
    <t>Semestral</t>
  </si>
  <si>
    <t>CEARÁ-MIRIM</t>
  </si>
  <si>
    <t>CM</t>
  </si>
  <si>
    <t>Trimestral</t>
  </si>
  <si>
    <t>CURRAIS NOVOS</t>
  </si>
  <si>
    <t>CN</t>
  </si>
  <si>
    <t>Mensal</t>
  </si>
  <si>
    <t>EDUCAÇÃO À DISTÂNCIA</t>
  </si>
  <si>
    <t>EaD</t>
  </si>
  <si>
    <t>IPANGUAÇU</t>
  </si>
  <si>
    <t>IP</t>
  </si>
  <si>
    <t>JOÃO CÂMARA</t>
  </si>
  <si>
    <t>JC</t>
  </si>
  <si>
    <t>LAJES</t>
  </si>
  <si>
    <t>LJ</t>
  </si>
  <si>
    <t>MACAU</t>
  </si>
  <si>
    <t>MC</t>
  </si>
  <si>
    <t>MOSSORÓ</t>
  </si>
  <si>
    <t>MO</t>
  </si>
  <si>
    <t>NATAL CENTRAL</t>
  </si>
  <si>
    <t>CNAT</t>
  </si>
  <si>
    <t>NATAL CIDADE ALTA</t>
  </si>
  <si>
    <t>CALT</t>
  </si>
  <si>
    <t>NATAL ZONA NORTE</t>
  </si>
  <si>
    <t>ZN</t>
  </si>
  <si>
    <t>NOVA CRUZ</t>
  </si>
  <si>
    <t>NC</t>
  </si>
  <si>
    <t>PARELHAS</t>
  </si>
  <si>
    <t>PAAS</t>
  </si>
  <si>
    <t>PARNAMIRIM</t>
  </si>
  <si>
    <t>PAR</t>
  </si>
  <si>
    <t>PAU DOS FERROS</t>
  </si>
  <si>
    <t>PF</t>
  </si>
  <si>
    <t>REITORIA</t>
  </si>
  <si>
    <t>RE</t>
  </si>
  <si>
    <t>SANTA CRUZ</t>
  </si>
  <si>
    <t>SC</t>
  </si>
  <si>
    <t>SÃO GONÇALO DO AMARANTE</t>
  </si>
  <si>
    <t>SGA</t>
  </si>
  <si>
    <t>SÃO PAULO DO POTENGI</t>
  </si>
  <si>
    <t>SPP</t>
  </si>
  <si>
    <t>MATERIAL</t>
  </si>
  <si>
    <t>EQUIPAMENTO</t>
  </si>
  <si>
    <t>CAMPUS</t>
  </si>
  <si>
    <t>Encarregado</t>
  </si>
  <si>
    <t>Total</t>
  </si>
  <si>
    <t>ENCARREGADO</t>
  </si>
  <si>
    <t>SIGLA</t>
  </si>
  <si>
    <t>Planilha de Custos e Formação de Preços</t>
  </si>
  <si>
    <t>COMPLEMENTO DOS SERVIÇOS DE LIMPEZA E CONSERVAÇÃO</t>
  </si>
  <si>
    <t>Processo</t>
  </si>
  <si>
    <t>Licitação</t>
  </si>
  <si>
    <t>I - PREÇO MENSAL UNITÁRIO POR M²</t>
  </si>
  <si>
    <t>Data</t>
  </si>
  <si>
    <t>Horário</t>
  </si>
  <si>
    <t>DADOS DO PROPONENTE</t>
  </si>
  <si>
    <t>AREA INTERNA</t>
  </si>
  <si>
    <t>Razão Social</t>
  </si>
  <si>
    <t>CNPJ</t>
  </si>
  <si>
    <t>MÃO-DE-OBRA</t>
  </si>
  <si>
    <t>(1)</t>
  </si>
  <si>
    <t>(2)</t>
  </si>
  <si>
    <t>( 1 X 2 )</t>
  </si>
  <si>
    <t>DISCRIMINAÇÃO DO SERVIÇO</t>
  </si>
  <si>
    <t>PRODUTIVIDADE</t>
  </si>
  <si>
    <t>SUBTOTAL</t>
  </si>
  <si>
    <t>A</t>
  </si>
  <si>
    <t>Data de Apresentação da Proposta (dia/mês/ano)</t>
  </si>
  <si>
    <t>(1/M²)</t>
  </si>
  <si>
    <t>(R$)</t>
  </si>
  <si>
    <t>(R$/M²)</t>
  </si>
  <si>
    <t>B</t>
  </si>
  <si>
    <t>Município/UF</t>
  </si>
  <si>
    <t>Natal/RN</t>
  </si>
  <si>
    <t>C</t>
  </si>
  <si>
    <t>Ano Acordo, Convenção ou Sentença Normativa em Dissíso Coletivo</t>
  </si>
  <si>
    <t>D</t>
  </si>
  <si>
    <t>N° de meses de execução contratual</t>
  </si>
  <si>
    <t>IDENTIFICAÇÃO DO SERVIÇO</t>
  </si>
  <si>
    <t>Tipo de Serviço</t>
  </si>
  <si>
    <t>Unidade de Medida</t>
  </si>
  <si>
    <t>TOTAL</t>
  </si>
  <si>
    <t>AUXILIAR DE SERVIÇOS GERAIS</t>
  </si>
  <si>
    <t>Homem</t>
  </si>
  <si>
    <t>MÃO-DE-OBRA VINCULADA À EXECUÇÃO CONTRATUAL</t>
  </si>
  <si>
    <t>AREA EXTERNA</t>
  </si>
  <si>
    <t>Dados complementares para composição dos custos referente à mão-de-obra</t>
  </si>
  <si>
    <t>Tipo de serviço (mesmo serviço com características distintas)</t>
  </si>
  <si>
    <t>Salário Normativo da Categoria Profissional (R$)</t>
  </si>
  <si>
    <t>Categoria profissional (vinculada à execução contratual)</t>
  </si>
  <si>
    <t>Data base da categoria (dia/mês/ano)</t>
  </si>
  <si>
    <t>Nota</t>
  </si>
  <si>
    <t>Deverá ser elaborado um quadro para cada tipo de serviço.</t>
  </si>
  <si>
    <t>MÓDULO 1</t>
  </si>
  <si>
    <t>COMPOSIÇÃO DA REMUNERAÇÃO</t>
  </si>
  <si>
    <t>Composição da Remuneração</t>
  </si>
  <si>
    <t>Valor (R$)</t>
  </si>
  <si>
    <t>Salário Base</t>
  </si>
  <si>
    <t>Adicional de Periculosidade</t>
  </si>
  <si>
    <t>Adicional de Insalubridade</t>
  </si>
  <si>
    <t>Adicional Noturno</t>
  </si>
  <si>
    <t>E</t>
  </si>
  <si>
    <t>Hora Noturna Adicional</t>
  </si>
  <si>
    <t>ESQUADRIA EXTERNA - FACE INTERNA/EXTERNA</t>
  </si>
  <si>
    <t>F</t>
  </si>
  <si>
    <t>Adicional de Hora Extra</t>
  </si>
  <si>
    <t xml:space="preserve"> (3)</t>
  </si>
  <si>
    <t xml:space="preserve"> (4)</t>
  </si>
  <si>
    <t>(5)</t>
  </si>
  <si>
    <t>( 4 X 5 )</t>
  </si>
  <si>
    <t>G</t>
  </si>
  <si>
    <t>Intervalo Intrajornada</t>
  </si>
  <si>
    <t>( 1 X 2 X 3 )</t>
  </si>
  <si>
    <t>H</t>
  </si>
  <si>
    <t>Outros (Especificar)</t>
  </si>
  <si>
    <t>Ki</t>
  </si>
  <si>
    <t>Total da Remuneração</t>
  </si>
  <si>
    <t>1/191,40</t>
  </si>
  <si>
    <t>MÓDULO 2</t>
  </si>
  <si>
    <t>BENEFÍCIOS MENSAIS E DIÁRIOS</t>
  </si>
  <si>
    <t>Benefícios Mensais e Diários</t>
  </si>
  <si>
    <t>Transporte</t>
  </si>
  <si>
    <t>Auxilio Alimentação (Vales, Cesta Básica, etc.)</t>
  </si>
  <si>
    <t>Assistência Médica e Familiar</t>
  </si>
  <si>
    <t>Auxilio Creche</t>
  </si>
  <si>
    <t>II - VALOR MENSAL DOS SERVIÇOS</t>
  </si>
  <si>
    <t>Seguro de Vida, Invalidez e Funeral</t>
  </si>
  <si>
    <t>TIPO DE ÁREA</t>
  </si>
  <si>
    <t>ÁREA</t>
  </si>
  <si>
    <t>Outros (especificar)</t>
  </si>
  <si>
    <t>(M²)</t>
  </si>
  <si>
    <t>Total dos Benefícios Mensais e Diários</t>
  </si>
  <si>
    <t>AREA INTERNA (pisos frios e laboratórios)</t>
  </si>
  <si>
    <t>Nota (1)</t>
  </si>
  <si>
    <t>O valor informado deverá ser o custo real do insumo (descontado o valor eventualmente pago pelo empregado</t>
  </si>
  <si>
    <t>ÁREAS EXTERNAS</t>
  </si>
  <si>
    <t>Nota (2)</t>
  </si>
  <si>
    <t>Quanto ao auxílio alimentação, o Programa de Alimentação do Trabalhador (PAT) prevê desconto máximo de 20% do valor de face do Vale (Decretos nºs 5/91 e 349/91). A Cesta Básica (CB) poderá ser considerada benefício desde que decorra de acordo coletivo e/ou faça parte do Plano de Alimentação do Trabalhador instituído pelo empregador. Tanto o PAT quanto a CB podem ter ou não desconto do seu valor de face, o que dependerá da convenção ou acordo coletivo de trabalho.Para o cálculo estimativo desta planilha foi considerado nenhum desconto. Cabe à empresa informar em sua proposta se há previsão, segundo a CCT, de desconto para o caso real.</t>
  </si>
  <si>
    <t>ESQUADRIAS EXTERNAS E EXTERNAS</t>
  </si>
  <si>
    <t>VALOR GLOBAL DA PROPOSTA</t>
  </si>
  <si>
    <t>N° de meses do contrato</t>
  </si>
  <si>
    <t>MÓDULO 3</t>
  </si>
  <si>
    <t>INSUMOS DIVERSOS</t>
  </si>
  <si>
    <t>Insumos Diversos</t>
  </si>
  <si>
    <t>Uniformes</t>
  </si>
  <si>
    <t>Materiais</t>
  </si>
  <si>
    <t>Equipamentos</t>
  </si>
  <si>
    <t>Total dos Insumos Diversos</t>
  </si>
  <si>
    <t>Valores mensais divididos pelo número de serventes</t>
  </si>
  <si>
    <t>MÓDULO 4</t>
  </si>
  <si>
    <t>ENCARGOS SOCIAIS E TRABALHISTAS</t>
  </si>
  <si>
    <t>Submódulo 4.1</t>
  </si>
  <si>
    <t>Encargos Previdenciários e FGTS</t>
  </si>
  <si>
    <t>4.1</t>
  </si>
  <si>
    <t>%</t>
  </si>
  <si>
    <t>INSS</t>
  </si>
  <si>
    <t>SESI ou SESC</t>
  </si>
  <si>
    <t>SENAI ou SENAC</t>
  </si>
  <si>
    <t>INCRA</t>
  </si>
  <si>
    <t>Salário Educação</t>
  </si>
  <si>
    <t>FGTS</t>
  </si>
  <si>
    <t>Seguro Acidente de Trabalho (Incluir RAT)</t>
  </si>
  <si>
    <t>SEBRAE</t>
  </si>
  <si>
    <t>Os percentuais dos Encargos Previdenciários e FGTS são aqueles estabelecidos pela legislação vigente.</t>
  </si>
  <si>
    <t>Percentuais incidentes sobre a remuneração.</t>
  </si>
  <si>
    <t>Submódulo 4.2</t>
  </si>
  <si>
    <t>13° Salário e Adicional de Férias</t>
  </si>
  <si>
    <t>4.2</t>
  </si>
  <si>
    <t>13º (décimo-terceiro) salário</t>
  </si>
  <si>
    <t>13° Salário</t>
  </si>
  <si>
    <t>Adicional de Férias</t>
  </si>
  <si>
    <t>Subtotal</t>
  </si>
  <si>
    <t>Incidência do Submódulo 4.1 sobre 13° salário e Adicional de Férias</t>
  </si>
  <si>
    <t>Submódulo 4.3</t>
  </si>
  <si>
    <t>Afastamento Maternidade</t>
  </si>
  <si>
    <t>4.3</t>
  </si>
  <si>
    <t>Incidência do Submódulo 4.1 sobre Afastamento Maternidade</t>
  </si>
  <si>
    <t>Submódulo 4.4</t>
  </si>
  <si>
    <t>Provisão para Rescisão</t>
  </si>
  <si>
    <t>4.4</t>
  </si>
  <si>
    <t>Aviso Prévio Indenizado</t>
  </si>
  <si>
    <t>Incidência do FGTS sobre Aviso Prévio Indenizado</t>
  </si>
  <si>
    <t>Multa do FGTS sobre Aviso Prévio Indenizado</t>
  </si>
  <si>
    <t>Aviso Prévio Trabalhado</t>
  </si>
  <si>
    <t>Incidência do Submódulos 4.1 sobre Aviso Prévio Trabalhado</t>
  </si>
  <si>
    <t>Multa FGTS sobre Aviso Prévio Trabalhado</t>
  </si>
  <si>
    <t>Retificado o item B do Submódulo  4.4 -  Provisão para Rescisão publicado no Diário Oficial da União n° 63, Seção I, página 92, em 1° de abril de 2011.</t>
  </si>
  <si>
    <t>O campo aviso  prévio  trabalhado (D) será zerado após o primeiro ano de vigência do contrato, caso o mesmo seja renovado.</t>
  </si>
  <si>
    <t>Submódulo 4.5</t>
  </si>
  <si>
    <t>Custo de Reposição do Profissional Ausente</t>
  </si>
  <si>
    <t>4.5</t>
  </si>
  <si>
    <t>Composição do Custo de Reposição de Profissional Ausente</t>
  </si>
  <si>
    <t>Férias e terço constitucional de férias</t>
  </si>
  <si>
    <t>Ausência por Doença</t>
  </si>
  <si>
    <t>Licença Paternidade</t>
  </si>
  <si>
    <t>Ausências Legais</t>
  </si>
  <si>
    <t>Ausência por Acidente de Trabalho</t>
  </si>
  <si>
    <t>Incidência do Submódulo 4.1 sobre o Custo de Reposição</t>
  </si>
  <si>
    <t>Quadro Resumo - Módulo 4</t>
  </si>
  <si>
    <t>Encargos Sociais e Trabalhistas</t>
  </si>
  <si>
    <t>Módulo 4 - Encargos Sociais e Trabalhistas</t>
  </si>
  <si>
    <t>4.6</t>
  </si>
  <si>
    <t>MÓDULO 5</t>
  </si>
  <si>
    <t>CUSTOS INDIRETOS, TRIBUTOS E LUCRO</t>
  </si>
  <si>
    <t>Custos Indiretos, Tributos e Lucro</t>
  </si>
  <si>
    <t xml:space="preserve">Custos Indiretos </t>
  </si>
  <si>
    <t>Lucro</t>
  </si>
  <si>
    <t>Total dos Custos Indiretos e Lucro</t>
  </si>
  <si>
    <t>Tributos</t>
  </si>
  <si>
    <t>B.1 - Tributos Federais (Especificar)</t>
  </si>
  <si>
    <t>COFINS</t>
  </si>
  <si>
    <t>PIS</t>
  </si>
  <si>
    <t>B.2- Tributos Municipais (Especificar)</t>
  </si>
  <si>
    <t>ISS</t>
  </si>
  <si>
    <t>B.3- Outros Tributos (Especificar</t>
  </si>
  <si>
    <t>Total dos Tributos</t>
  </si>
  <si>
    <t>Custos Indiretos, Tributos e Lucro por empregado.</t>
  </si>
  <si>
    <t>O valor referente a tributos é obtido aplicando-se o percentual sobre o valor do faturamento.</t>
  </si>
  <si>
    <t>Nota (3)</t>
  </si>
  <si>
    <t>A alíquota dos Tributos municipais deve ser informada de acordo com a legislação do do município onde será prestado o serviço</t>
  </si>
  <si>
    <t>QUADRO-RESUMO DO CUSTO POR EMPREGADO</t>
  </si>
  <si>
    <t>Mão-de-obra vinculada à execução contratual (valor por empregado)</t>
  </si>
  <si>
    <t>R$</t>
  </si>
  <si>
    <t>Módulo 1 - Composição da Remuneração</t>
  </si>
  <si>
    <t>Módulo 2 - Benefícios Mensais e Diários</t>
  </si>
  <si>
    <t>Módulo 3 - Insumos Diverso (Uniformes, Materiais, Equipamentos e Outros)</t>
  </si>
  <si>
    <t>Subtotal (A+B+C+D)</t>
  </si>
  <si>
    <t>Módulo 5 - Custos Indiretos, Tributos e Lucro</t>
  </si>
  <si>
    <t>Valor Total por Empregado (R$)</t>
  </si>
  <si>
    <t>Valores mensais por empregado</t>
  </si>
  <si>
    <t>X</t>
  </si>
  <si>
    <t xml:space="preserve">Qtd Total a Contratar </t>
  </si>
  <si>
    <t>/MÊS (R$)</t>
  </si>
  <si>
    <t>PREÇO HOMEM</t>
  </si>
  <si>
    <t>NO MÊS (HORAS)</t>
  </si>
  <si>
    <t>FREQUÊNCIA</t>
  </si>
  <si>
    <t>JORNADA DE TRABALHO</t>
  </si>
  <si>
    <t>UNITÁRIO (R$/M²)</t>
  </si>
  <si>
    <t>PREÇO MENSAL</t>
  </si>
  <si>
    <t>VALOR (R$)</t>
  </si>
  <si>
    <r>
      <rPr>
        <b/>
        <sz val="11"/>
        <color indexed="8"/>
        <rFont val="Calibri"/>
        <family val="2"/>
      </rPr>
      <t>VALOR ANUAL</t>
    </r>
    <r>
      <rPr>
        <sz val="11"/>
        <color indexed="8"/>
        <rFont val="Calibri"/>
        <family val="2"/>
      </rPr>
      <t xml:space="preserve"> (Valor Mensal do Serviço x 12 meses)</t>
    </r>
  </si>
  <si>
    <r>
      <rPr>
        <b/>
        <sz val="11"/>
        <color indexed="8"/>
        <rFont val="Calibri"/>
        <family val="2"/>
      </rPr>
      <t xml:space="preserve">VALOR TOTAL </t>
    </r>
    <r>
      <rPr>
        <sz val="11"/>
        <color indexed="8"/>
        <rFont val="Calibri"/>
        <family val="2"/>
      </rPr>
      <t>(Valor Mensal do Serviço x n° de meses do contrato)</t>
    </r>
  </si>
  <si>
    <t>################################################################################################################</t>
  </si>
  <si>
    <t>ASG</t>
  </si>
  <si>
    <t>A alíquota dos Tributos municipais deve ser informada de acordo com a legislação do do município onde será prestado o serviç.</t>
  </si>
  <si>
    <t>ANEXO II - C</t>
  </si>
  <si>
    <t>Outros (PGM)</t>
  </si>
  <si>
    <t>Outros (Depreciação de Equipamentos - 20% ao ano) ["C"*-80%)</t>
  </si>
  <si>
    <t>Outros</t>
  </si>
  <si>
    <t>Seguro Acidente de Trabalho (informar RAT da empresa)</t>
  </si>
  <si>
    <t>AUXILIAR DE SAUDE BUCAL</t>
  </si>
  <si>
    <r>
      <t xml:space="preserve">VALOR ANUAL </t>
    </r>
    <r>
      <rPr>
        <sz val="11"/>
        <rFont val="Calibri"/>
        <family val="2"/>
      </rPr>
      <t>(Valor Mensal do Serviço x 12 meses)</t>
    </r>
  </si>
  <si>
    <t>Valor Total Mensal (R$)</t>
  </si>
  <si>
    <t>AJUDANTE/SERVENTE</t>
  </si>
  <si>
    <t>ELETRICISTA</t>
  </si>
  <si>
    <t>JARDINEIRO</t>
  </si>
  <si>
    <t>PEDREIRO</t>
  </si>
  <si>
    <t>PORTEIRO</t>
  </si>
  <si>
    <t>BOMBEIRO HIDRAULICO/ENCANADOR</t>
  </si>
  <si>
    <t>PISCINEIRO</t>
  </si>
  <si>
    <t>PINTOR</t>
  </si>
  <si>
    <t>TRABALHADOR RURAL</t>
  </si>
  <si>
    <t>TRATORISTA</t>
  </si>
  <si>
    <t>Adicional de Hora Extra (100%)</t>
  </si>
  <si>
    <t>IPANGUAÇU/RN</t>
  </si>
  <si>
    <t>Transporte(R$2*2*26)-(0,06*SALARIO)</t>
  </si>
  <si>
    <t xml:space="preserve">Outros (PGM) </t>
  </si>
  <si>
    <t>RN000103/2017</t>
  </si>
  <si>
    <t>Contribução social (cláusula 12ª)</t>
  </si>
  <si>
    <t>Ipanguaçu/RN</t>
  </si>
  <si>
    <t>RN000083.2017</t>
  </si>
  <si>
    <t>Auxílio enfermidade</t>
  </si>
  <si>
    <t>Auxílio Doença mais de 15 dias</t>
  </si>
  <si>
    <t>Ausência legais</t>
  </si>
  <si>
    <t>Treinamento</t>
  </si>
  <si>
    <t>I</t>
  </si>
  <si>
    <t xml:space="preserve">RN000444.2016 </t>
  </si>
  <si>
    <t>AUXILIAR DE COZINHA</t>
  </si>
  <si>
    <t>REPACTUAÇÃO 2018</t>
  </si>
  <si>
    <t xml:space="preserve"> </t>
  </si>
  <si>
    <t xml:space="preserve">Assistência Médica e Familiar (cobertura social) </t>
  </si>
  <si>
    <t>Beneficio Social Familiar</t>
  </si>
  <si>
    <t>RN000112/2018</t>
  </si>
  <si>
    <t>RN000112/2018 SINDLIMP</t>
  </si>
  <si>
    <t>ITEM</t>
  </si>
  <si>
    <t>Classificação Brasileira de Ocupações (CBO)</t>
  </si>
  <si>
    <t>CATEGORIA</t>
  </si>
  <si>
    <t>DISCRIMINAÇÃO DOS SERVIÇOS (DADOS REFERENTES À CONTRATAÇÃO</t>
  </si>
  <si>
    <t>Data de apresentação da proposta (dia/mês/ano):</t>
  </si>
  <si>
    <t>Município/UF:</t>
  </si>
  <si>
    <t>Ano do Acordo, Convenção ou Dissídio Cole_x0001_vo:</t>
  </si>
  <si>
    <t>Número de meses de execução contratual:</t>
  </si>
  <si>
    <t>Identificação do Serviço</t>
  </si>
  <si>
    <t>Tipo de Serviços</t>
  </si>
  <si>
    <t>Quantidade total a contratar (em função da unidade de medida)</t>
  </si>
  <si>
    <t>Mão De Obra Vinculada à Execução ContratuaL</t>
  </si>
  <si>
    <t>Dados complementares para composição dos custos referentes à mão de obra</t>
  </si>
  <si>
    <t>Data-Base da categoria (dia/ano)</t>
  </si>
  <si>
    <t>MÓDULO 1 - COMPOSIÇÃO DA REMUNERAÇÃO</t>
  </si>
  <si>
    <t>Adicional de Hora noturna reduzida</t>
  </si>
  <si>
    <t>Nota 1: O Módulo 1 refere-se ao valor mensal devido ao empregado pela prestação do serviço no período de 12 meses.</t>
  </si>
  <si>
    <t>Tipo de serviço (mesmo serviço com caracteríticas distintas)</t>
  </si>
  <si>
    <t>Salário normtivo da categoria profissional</t>
  </si>
  <si>
    <t>MÓDULO 2 - ENCARGOS E BENEFÍCIOS MENSAIS E DIÁRIOS</t>
  </si>
  <si>
    <t>2.1</t>
  </si>
  <si>
    <t xml:space="preserve">13º (décimo-terceiro) salário  Férias e Adicional das Férias </t>
  </si>
  <si>
    <t>2.2</t>
  </si>
  <si>
    <t>Encargos Previdenciários e Sociais</t>
  </si>
  <si>
    <t>QUADRO RESUMO DO MODULO 2</t>
  </si>
  <si>
    <t>2.3</t>
  </si>
  <si>
    <t>Encargos Previdenciários e Sociais (GPS, FGTS, etc</t>
  </si>
  <si>
    <t>13º (Décimo terceiro) salário, Férias e Adicional das Férias</t>
  </si>
  <si>
    <t>Benfícios Mensais e Diários</t>
  </si>
  <si>
    <t>Quadro-Resumo do Módulo 2 - Encargos e Benfícios anuais, mensais e diários</t>
  </si>
  <si>
    <t>MÓDULO 3: PROVISÃO PARA RESCISÃO</t>
  </si>
  <si>
    <t>Incidência do Submódulos 2.2 sobre Aviso Prévio Trabalhado</t>
  </si>
  <si>
    <t>Módulo 4 – Custo de Reposição do Profissional Ausente</t>
  </si>
  <si>
    <t>Intrajornada</t>
  </si>
  <si>
    <t>QUADRO RESUMO DO MODULO 4</t>
  </si>
  <si>
    <t>CUSTO DE REPOSIÇÃO PROFISSIONAL AUSENTE</t>
  </si>
  <si>
    <t>Subtituto nas Ausências Legais</t>
  </si>
  <si>
    <t>Nota 1: Os itens que contemplam o módulo 4 se referem ao custo dos dias trabalhados pelo repositor/subs_x0001_tuto, quando o empregado alocado na prestação de serviço es_x0001_ver ausente, conforme as previsões
estabelecidas na legislação. (Redação dada pela Instrução Norma_x0001_va nº 7, de 2018)</t>
  </si>
  <si>
    <t>Submódulo 2.3 - Benfícios Mensais e Diários</t>
  </si>
  <si>
    <t>MÓDULO 5 - INSUMOS DIVERSOS</t>
  </si>
  <si>
    <t>5.1</t>
  </si>
  <si>
    <t>Materiais (IPCA)</t>
  </si>
  <si>
    <t>MÓDULO 6 - CUSTOS INDIRETOS, TRIBUTOS E LUCRO</t>
  </si>
  <si>
    <t>2. QUADRO-RESUMO DO VALOR DOS SERVIÇOS</t>
  </si>
  <si>
    <t>Módulo 2 – Encargos e Bene_x0001_cios Anuais, Mensais e Diários</t>
  </si>
  <si>
    <t>Módulo 3 – Provisão para Rescisão</t>
  </si>
  <si>
    <t>Módulo 5 – Insumos Diversos</t>
  </si>
  <si>
    <t>Subtotal (A+B+C+D+E)</t>
  </si>
  <si>
    <t>Módulo 6 - Custos Indiretos, Tributos e Lucro</t>
  </si>
  <si>
    <t>Tipo de Serviço (A)</t>
  </si>
  <si>
    <t>Valor Proposto por Empregado (B)</t>
  </si>
  <si>
    <t>Valor Proposto por Posto (D) = (B x C)</t>
  </si>
  <si>
    <t>Qtde. de Postos (E)</t>
  </si>
  <si>
    <t>Valor Total do Serviço (F) = (D x E)</t>
  </si>
  <si>
    <t>DESCRIÇÃO</t>
  </si>
  <si>
    <t>Valor Proposto por Unidade de Medida</t>
  </si>
  <si>
    <t>Valor Mensal do Serviço</t>
  </si>
  <si>
    <t>Valor Global da Proposta (Valor Mensal do Serviço Multiplicado pelo Número de Meses do Contrato)</t>
  </si>
  <si>
    <t>4. QUADRO DEMONSTRATIVO DO VALOR GLOBAL DA PROPOSTA</t>
  </si>
  <si>
    <t>3. QUADRO-RESUMO DO VALOR MENSAL DOS SERVIÇOS</t>
  </si>
  <si>
    <t>Encargos e Benfícios Anuais, Mensais e Diários</t>
  </si>
  <si>
    <t>ANEXO I - PLANILHA DE CUSTO E FORMAÇÃO DE PREÇOS</t>
  </si>
  <si>
    <t>Férias e Adicional de Férias</t>
  </si>
  <si>
    <t>Cesta Básica</t>
  </si>
  <si>
    <t>C.1 - Tributos Federais (Especificar)</t>
  </si>
  <si>
    <t>C.2- Tributos Municipais (Especificar)</t>
  </si>
  <si>
    <t>C.3- Outros Tributos (Especificar</t>
  </si>
  <si>
    <t>Valor Total por Empregado</t>
  </si>
  <si>
    <t>Plano de Saude</t>
  </si>
  <si>
    <t>Auxilio Funeral</t>
  </si>
  <si>
    <t>SUBMÓDULO 2.2 - - Encargos Previdenciários (GPS), Fundo de Garantia por Tempo de Serviço (FGTS) e outras contribuições.</t>
  </si>
  <si>
    <t xml:space="preserve"> Ausências Legais</t>
  </si>
  <si>
    <t>Outros  (especificar)</t>
  </si>
  <si>
    <t xml:space="preserve">Módulo 3 - Provisão para Rescisão </t>
  </si>
  <si>
    <t xml:space="preserve">Submódulo 4.1 - Ausências Legais </t>
  </si>
  <si>
    <t xml:space="preserve">Submódulo 4.2 - Intrajornada </t>
  </si>
  <si>
    <t>Intervalo para repouso ou alimentação</t>
  </si>
  <si>
    <t xml:space="preserve"> Intrajornada</t>
  </si>
  <si>
    <t>FORTALEZA/CE</t>
  </si>
  <si>
    <t>RESUMO DA FORMAÇÃO DE CUSTO MENSAL E TOTAL DA PROPOSTA</t>
  </si>
  <si>
    <t>Auxilio Alimentação</t>
  </si>
  <si>
    <t>EMPREGADOS</t>
  </si>
  <si>
    <t>4110-10</t>
  </si>
  <si>
    <t>Qtde. de Empreg. Posto (C)</t>
  </si>
  <si>
    <t>4221-05</t>
  </si>
  <si>
    <t>SERVENTE</t>
  </si>
  <si>
    <t>Servente</t>
  </si>
  <si>
    <t>PISO FRIO</t>
  </si>
  <si>
    <t>MÃO DE OBRA</t>
  </si>
  <si>
    <t>(1) PRODUTIVIDADE (1/M²)</t>
  </si>
  <si>
    <t>(2) PREÇO POSTO/MÊS</t>
  </si>
  <si>
    <t>(1 x 2) SUBTOTAL (R$/M²)</t>
  </si>
  <si>
    <t>RELAÇÃO DOS MATERIAIS, UTENSÍLIOS E EQUIPAMENTOS PARA AUXÍLIO AO SERVIÇO DE LIMPEZA E CONSERVAÇÃO</t>
  </si>
  <si>
    <t>ESPECIFICAÇÃO</t>
  </si>
  <si>
    <t>UNIDADE</t>
  </si>
  <si>
    <t>CONSUMO MENSAL ESTIMADO</t>
  </si>
  <si>
    <t>CONSUMO ANUAL</t>
  </si>
  <si>
    <t>VALOR UNITÁRIO</t>
  </si>
  <si>
    <t>VALOR TOTAL</t>
  </si>
  <si>
    <t>Água Sanitária</t>
  </si>
  <si>
    <t>Litro</t>
  </si>
  <si>
    <t>Álcool</t>
  </si>
  <si>
    <t>Aplicador Universal</t>
  </si>
  <si>
    <t>Unidade</t>
  </si>
  <si>
    <t>Balde Plástico</t>
  </si>
  <si>
    <t>Cera Ush</t>
  </si>
  <si>
    <t>Desinfetante Concentrado</t>
  </si>
  <si>
    <t>Detergente Neutro</t>
  </si>
  <si>
    <t>Esponja Dupla Face</t>
  </si>
  <si>
    <t>Flanela</t>
  </si>
  <si>
    <t>Disco Vermelho para Enceradeira</t>
  </si>
  <si>
    <t>Lã de Aço (Bombril)</t>
  </si>
  <si>
    <t>Limpa Vidro</t>
  </si>
  <si>
    <t>Lustra Moveis</t>
  </si>
  <si>
    <t>Luva Latex</t>
  </si>
  <si>
    <t>Tecno Sanit Plus</t>
  </si>
  <si>
    <t>Máscara Descartável</t>
  </si>
  <si>
    <t>Caixa</t>
  </si>
  <si>
    <t>Multiuso</t>
  </si>
  <si>
    <t>Óleo de Peroba</t>
  </si>
  <si>
    <t>Palha de Aço</t>
  </si>
  <si>
    <t>Pano de Chão</t>
  </si>
  <si>
    <t>Papel Higiênico 30 mts</t>
  </si>
  <si>
    <t>Fardo</t>
  </si>
  <si>
    <t>Papel Higiênico rolo 30 mts</t>
  </si>
  <si>
    <t>Papel Toalha</t>
  </si>
  <si>
    <t>Pedra Sanitária</t>
  </si>
  <si>
    <t>Refil Mop Pó</t>
  </si>
  <si>
    <t>Removedor Concentrado</t>
  </si>
  <si>
    <t>Rodo de Madeira 30 cm</t>
  </si>
  <si>
    <t>Rodo de Madeira 50 cm</t>
  </si>
  <si>
    <t>Sabão em Pó - 500g</t>
  </si>
  <si>
    <t>Sabonete Liquido</t>
  </si>
  <si>
    <t>Saco Lixo 100 Lts</t>
  </si>
  <si>
    <t>Cento</t>
  </si>
  <si>
    <t>Saco Lixo 40 Lts</t>
  </si>
  <si>
    <t>Vassoura Bidê</t>
  </si>
  <si>
    <t>Vassoura de Naylon</t>
  </si>
  <si>
    <t>Vassoura de Pelo 01 mts</t>
  </si>
  <si>
    <t>Vassoura de Pelo 50 cm</t>
  </si>
  <si>
    <t>Vassoura Gary</t>
  </si>
  <si>
    <t>Carinho de mão</t>
  </si>
  <si>
    <t>Enceradeira Industrial</t>
  </si>
  <si>
    <t>Balde Espremedor</t>
  </si>
  <si>
    <t>Mop Pó Completo</t>
  </si>
  <si>
    <t>Aspirador de Pó</t>
  </si>
  <si>
    <t>Touca Árabe Tipo Boné</t>
  </si>
  <si>
    <t>Pá</t>
  </si>
  <si>
    <t>Escada Dupla</t>
  </si>
  <si>
    <t>Cavalete de Alumínio / Placa de Sinalização</t>
  </si>
  <si>
    <t>Suporte de Papel Toalha</t>
  </si>
  <si>
    <t>BANHEIRO</t>
  </si>
  <si>
    <t>PISO ACARPETADO</t>
  </si>
  <si>
    <t>PÁTIO E ÁREAS VERDES</t>
  </si>
  <si>
    <t>ÁREA M²</t>
  </si>
  <si>
    <t>ALMOXARIFADO (ESCRITÓRIO)</t>
  </si>
  <si>
    <t>HALL</t>
  </si>
  <si>
    <t>QUANT. HOMEM/M²</t>
  </si>
  <si>
    <t>TOTAL DE HOMENS:</t>
  </si>
  <si>
    <t>PISO ACARPETADOS</t>
  </si>
  <si>
    <t>PATIO E ÁREAS VERDES</t>
  </si>
  <si>
    <t xml:space="preserve">(2) 
FREQUÊNCIA NO MÊS (HORAS)
</t>
  </si>
  <si>
    <t>(3) JORNADA DE TRABALHO NO MÊS (HORAS)</t>
  </si>
  <si>
    <t xml:space="preserve">(4) 
FATOR DE PRODUTIVIDADE (1 x 2 x 3)
</t>
  </si>
  <si>
    <t xml:space="preserve">(5)
PREÇO HOMEM-MÊS
(R$)
</t>
  </si>
  <si>
    <t xml:space="preserve">(4x5)
SUBTOTAL
(R$/M²)
</t>
  </si>
  <si>
    <t>TOTAL:</t>
  </si>
  <si>
    <t>QUANTIDADE DE HOMENS:</t>
  </si>
  <si>
    <t>VALOR POR HOMEM:</t>
  </si>
  <si>
    <t>VALOR UNIT. HOMEM/M²</t>
  </si>
  <si>
    <t>VALOR MENSAL M² x ÁREA</t>
  </si>
  <si>
    <t>VALOR ANUAL M² x ÁREA</t>
  </si>
  <si>
    <t>ESQUADRIA INTERNA/EXTERNA</t>
  </si>
  <si>
    <t>CONTÍNUO</t>
  </si>
  <si>
    <t>QUANTIDADE</t>
  </si>
  <si>
    <t>VALOR MENSAL</t>
  </si>
  <si>
    <t>VALOR ANUAL</t>
  </si>
  <si>
    <t>POSTOS</t>
  </si>
  <si>
    <t>VALOR TOTAL DO ITEM 01 PARA 12 MESES</t>
  </si>
  <si>
    <t xml:space="preserve">VALOR TOTAL DO ITEM 02 PARA 12 MESES </t>
  </si>
  <si>
    <t>VALOR TOTAL DA CONTRATAÇÃO PARA 12 MESES (ITENS 01 E 02)</t>
  </si>
  <si>
    <t>Férias</t>
  </si>
  <si>
    <t>Licença-Paternidade</t>
  </si>
  <si>
    <t>acidente de trabalho</t>
  </si>
  <si>
    <t>Licença-Maternidade</t>
  </si>
  <si>
    <t>1/(30 x 800)</t>
  </si>
  <si>
    <t>1/800</t>
  </si>
  <si>
    <t>1/(30 x 200)</t>
  </si>
  <si>
    <t>1/(30 x 1000)</t>
  </si>
  <si>
    <t>1/200</t>
  </si>
  <si>
    <t>1/1000</t>
  </si>
  <si>
    <t>1/(30*800)</t>
  </si>
  <si>
    <t>1/(30 x1800)</t>
  </si>
  <si>
    <t>1/1800</t>
  </si>
  <si>
    <t>ESQUADRIAS EXTERNAS  = ESQUADRIA INTERNA (SEM RISCO)</t>
  </si>
  <si>
    <t>1/(30*300)</t>
  </si>
  <si>
    <t>1/300</t>
  </si>
  <si>
    <t>1/188,76</t>
  </si>
  <si>
    <t>UNIFORME - USO DIÁRIO DO SERVENTE DE LIMPEZA</t>
  </si>
  <si>
    <t>DESCRIÇÃO DETALHADA</t>
  </si>
  <si>
    <t>QTD. ANO</t>
  </si>
  <si>
    <t>SAPATOS PROFISSIONAIS modelo fechado, material leve e hidro repelente, palmilha anti umidade e solado antiderrapante. Tamanhos variados de acordo com usuários.</t>
  </si>
  <si>
    <t>MEIA 100% ALGODÃO. Tamanhos variados de acordo com usuários.</t>
  </si>
  <si>
    <t>CALÇA 100% ALGODÃO com elástico no cós, bolsos frontais e traseiros chapados e costura tripla reforçada. Tamanhos variados de acordo com usuários.</t>
  </si>
  <si>
    <t>UN</t>
  </si>
  <si>
    <t>CAMISETA MANGA CURTA com identificação/emblema em tecido tecnológico com ação antibacteriana e rápida absorção e evaporação do suor que permita a regulação da temperatura corporal e da sensação de abafamento.</t>
  </si>
  <si>
    <t>CAMISETA MANGA LONGA com identificação/emblema em tecido tecnológico com ação antibacteriana e rápida absorção e evaporação do suor que permita a regulação da temperatura corporal e da sensação de abafamento.</t>
  </si>
  <si>
    <t>CRACHÁ de identificação com foto</t>
  </si>
  <si>
    <t>UNIFORME - USO DIÁRIO DO CONTÍNUO</t>
  </si>
  <si>
    <t>Tipo de Peça</t>
  </si>
  <si>
    <t>Descrição</t>
  </si>
  <si>
    <t>Calça ou Saia</t>
  </si>
  <si>
    <t>Cor Preta, Fechamento em botão e zíper, modelo padrão para todos. Saia com comprimento no joelho</t>
  </si>
  <si>
    <t>02 por semestre</t>
  </si>
  <si>
    <t>Camisa</t>
  </si>
  <si>
    <t>Em modelo social, com abotoamento frontal, identificação da contratada. Modelo padrão para todos</t>
  </si>
  <si>
    <t>Crachá</t>
  </si>
  <si>
    <t>Crachá de identificação Funcional em PVC brilhoso com foto, com cordão.</t>
  </si>
  <si>
    <t>01 por semestre</t>
  </si>
  <si>
    <t>Par de Sapatos</t>
  </si>
  <si>
    <t>Sapato em modelo social, fechado, cor preta</t>
  </si>
  <si>
    <t>VALOR UNIT.</t>
  </si>
  <si>
    <t>Quantidade por Semestre</t>
  </si>
  <si>
    <t>Quantidade por Ano</t>
  </si>
  <si>
    <t>Valor Unit.</t>
  </si>
  <si>
    <t>Valor Total</t>
  </si>
  <si>
    <t>QUANTIDADE DE FUNCIONÁRIOS</t>
  </si>
  <si>
    <t>VALOR POR FUNCIONÁRIO</t>
  </si>
  <si>
    <r>
      <rPr>
        <b/>
        <u/>
        <sz val="8"/>
        <rFont val="Calibri"/>
        <family val="2"/>
        <scheme val="minor"/>
      </rPr>
      <t>Nota 1:</t>
    </r>
    <r>
      <rPr>
        <sz val="8"/>
        <rFont val="Calibri"/>
        <family val="2"/>
        <scheme val="minor"/>
      </rPr>
      <t xml:space="preserve"> Como a planilha de custos e formação de preços é calculada mensalmente, provisiona-se proporcionalmente 1/12 (um doze avos) dos valores referentes a gra_x0001_ficação natalina, férias e adicional de férias. (Redação dada pela Instrução Norma_x0001_va nº 7, de 2018) </t>
    </r>
  </si>
  <si>
    <r>
      <rPr>
        <b/>
        <u/>
        <sz val="8"/>
        <rFont val="Calibri"/>
        <family val="2"/>
        <scheme val="minor"/>
      </rPr>
      <t>Nota 2</t>
    </r>
    <r>
      <rPr>
        <sz val="8"/>
        <rFont val="Calibri"/>
        <family val="2"/>
        <scheme val="minor"/>
      </rPr>
      <t>: O Adicional de férias con_x0001_do no Submódulo 2.1 corresponde a 1/3 (um terço) da remuneração que por sua vez é dividido por 12 (doze) conforme Nota 1 acima</t>
    </r>
  </si>
  <si>
    <r>
      <rPr>
        <b/>
        <u/>
        <sz val="8"/>
        <rFont val="Calibri"/>
        <family val="2"/>
        <scheme val="minor"/>
      </rPr>
      <t>Nota 3</t>
    </r>
    <r>
      <rPr>
        <sz val="8"/>
        <rFont val="Calibri"/>
        <family val="2"/>
        <scheme val="minor"/>
      </rPr>
      <t>: Levando em consideração a vigência contratual prevista no art. 57 da Lei nº 8.666, de 23 de junho de 1993, a rubrica férias tem como objetivo principal suprir a necessidade do pagamento
das férias remuneradas ao final do contrato de 12 meses. Esta rubrica, quando da prorrogação contratual, torna-se custo não renovável. (Incluído pela Instrução Normativa nº 7, de 2018).</t>
    </r>
  </si>
  <si>
    <r>
      <t>Nota 1</t>
    </r>
    <r>
      <rPr>
        <b/>
        <sz val="8"/>
        <rFont val="Calibri"/>
        <family val="2"/>
        <scheme val="minor"/>
      </rPr>
      <t xml:space="preserve">: </t>
    </r>
    <r>
      <rPr>
        <sz val="8"/>
        <rFont val="Calibri"/>
        <family val="2"/>
        <scheme val="minor"/>
      </rPr>
      <t>Os percentuais dos encargos previdenciários, do FGTS e demais contribuições são aqueles estabelecidos pela legislação vigente</t>
    </r>
  </si>
  <si>
    <r>
      <rPr>
        <b/>
        <u/>
        <sz val="8"/>
        <rFont val="Calibri"/>
        <family val="2"/>
        <scheme val="minor"/>
      </rPr>
      <t>Nota 2:</t>
    </r>
    <r>
      <rPr>
        <sz val="8"/>
        <rFont val="Calibri"/>
        <family val="2"/>
        <scheme val="minor"/>
      </rPr>
      <t xml:space="preserve"> O SAT a depender do grau de risco do serviço variará entre 1%, para risco leve, de 2%, para risco médio, e de 3% de risco grave</t>
    </r>
  </si>
  <si>
    <r>
      <rPr>
        <b/>
        <u/>
        <sz val="8"/>
        <rFont val="Calibri"/>
        <family val="2"/>
        <scheme val="minor"/>
      </rPr>
      <t>Nota 3</t>
    </r>
    <r>
      <rPr>
        <sz val="8"/>
        <rFont val="Calibri"/>
        <family val="2"/>
        <scheme val="minor"/>
      </rPr>
      <t>: Esses percentuais incidem sobre o Módulo 1, o Submódulo 2.1. (Redação dada pela Instrução Norma_x0001_va nº 7, de 2018)</t>
    </r>
  </si>
  <si>
    <r>
      <rPr>
        <b/>
        <u/>
        <sz val="8"/>
        <rFont val="Calibri"/>
        <family val="2"/>
        <scheme val="minor"/>
      </rPr>
      <t>Nota 1:</t>
    </r>
    <r>
      <rPr>
        <sz val="8"/>
        <rFont val="Calibri"/>
        <family val="2"/>
        <scheme val="minor"/>
      </rPr>
      <t xml:space="preserve"> O valor informado deverá ser o custo real do bene_x0001_cio (descontado o valor eventualmente pago pelo empregado).</t>
    </r>
  </si>
  <si>
    <r>
      <rPr>
        <b/>
        <u/>
        <sz val="8"/>
        <rFont val="Calibri"/>
        <family val="2"/>
        <scheme val="minor"/>
      </rPr>
      <t xml:space="preserve">Nota 2: </t>
    </r>
    <r>
      <rPr>
        <sz val="8"/>
        <rFont val="Calibri"/>
        <family val="2"/>
        <scheme val="minor"/>
      </rPr>
      <t>Observar a previsão dos bene_x0001_cios con_x0001_dos em Acordos, Convenções e Dissídios Cole_x0001_vos de Trabalho e atentar-se ao disposto no art. 6º da Instrução Norma_x0001_va 05/2017</t>
    </r>
  </si>
  <si>
    <r>
      <rPr>
        <b/>
        <u/>
        <sz val="8"/>
        <rFont val="Calibri"/>
        <family val="2"/>
        <scheme val="minor"/>
      </rPr>
      <t>NOTA: TCU no Acórdão nº 1.186/2017</t>
    </r>
    <r>
      <rPr>
        <sz val="8"/>
        <rFont val="Calibri"/>
        <family val="2"/>
        <scheme val="minor"/>
      </rPr>
      <t xml:space="preserve"> – Plenário, a Administração “deve estabelecer na minuta do contrato que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12.506/2011”.</t>
    </r>
  </si>
  <si>
    <r>
      <t xml:space="preserve">Quadro-Resumo do Módulo 4 - Custo de Reposição do Profissional Ausente </t>
    </r>
    <r>
      <rPr>
        <b/>
        <sz val="8"/>
        <rFont val="Calibri"/>
        <family val="2"/>
        <scheme val="minor"/>
      </rPr>
      <t>(Redação dada pela Instrução Normativa nº 7, de 2018)</t>
    </r>
  </si>
  <si>
    <r>
      <rPr>
        <b/>
        <sz val="8"/>
        <rFont val="Calibri"/>
        <family val="2"/>
        <scheme val="minor"/>
      </rPr>
      <t xml:space="preserve">Nota: </t>
    </r>
    <r>
      <rPr>
        <sz val="8"/>
        <rFont val="Calibri"/>
        <family val="2"/>
        <scheme val="minor"/>
      </rPr>
      <t>Valores mensais por empregado</t>
    </r>
  </si>
  <si>
    <r>
      <rPr>
        <b/>
        <sz val="10"/>
        <rFont val="Calibri"/>
        <family val="2"/>
        <scheme val="minor"/>
      </rPr>
      <t>Nota 1</t>
    </r>
    <r>
      <rPr>
        <sz val="10"/>
        <rFont val="Calibri"/>
        <family val="2"/>
        <scheme val="minor"/>
      </rPr>
      <t>: Custos Indiretos, Tributos e Lucro por empregado.</t>
    </r>
  </si>
  <si>
    <r>
      <t xml:space="preserve">Nota 2: </t>
    </r>
    <r>
      <rPr>
        <sz val="10"/>
        <rFont val="Calibri"/>
        <family val="2"/>
        <scheme val="minor"/>
      </rPr>
      <t>O valor referente a tributos é ob_x0001_do aplicando-se o percentual sobre o valor do faturamento.</t>
    </r>
  </si>
  <si>
    <t>MÉDIA DA COTAÇÃO DE PREÇOS - DNOCS</t>
  </si>
  <si>
    <t>xx/xx/2024</t>
  </si>
  <si>
    <t>CE000127/2024</t>
  </si>
</sst>
</file>

<file path=xl/styles.xml><?xml version="1.0" encoding="utf-8"?>
<styleSheet xmlns="http://schemas.openxmlformats.org/spreadsheetml/2006/main">
  <numFmts count="14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0.0000%"/>
    <numFmt numFmtId="166" formatCode="_(* #,##0.00_);_(* \(#,##0.00\);_(* &quot;-&quot;??_);_(@_)"/>
    <numFmt numFmtId="167" formatCode="_(* #,##0.0000000000_);_(* \(#,##0.0000000000\);_(* &quot;-&quot;??_);_(@_)"/>
    <numFmt numFmtId="168" formatCode="&quot;R$ &quot;#,##0.00"/>
    <numFmt numFmtId="169" formatCode="0.0000000"/>
    <numFmt numFmtId="170" formatCode="0.000%"/>
    <numFmt numFmtId="171" formatCode="_(&quot;R$ &quot;* #,##0.00_);_(&quot;R$ &quot;* \(#,##0.00\);_(&quot;R$ &quot;* &quot;-&quot;??_);_(@_)"/>
    <numFmt numFmtId="172" formatCode="0.00000"/>
    <numFmt numFmtId="173" formatCode="&quot; &quot;[$R$-416]&quot; &quot;#,##0.00&quot; &quot;;&quot;-&quot;[$R$-416]&quot; &quot;#,##0.00&quot; &quot;;&quot; &quot;[$R$-416]&quot; -&quot;00&quot; &quot;;&quot; &quot;@&quot; &quot;"/>
    <numFmt numFmtId="174" formatCode="0.000000"/>
  </numFmts>
  <fonts count="4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Calibri"/>
      <family val="2"/>
      <scheme val="minor"/>
    </font>
    <font>
      <b/>
      <sz val="1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u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indexed="8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6"/>
      <color indexed="8"/>
      <name val="Calibri"/>
      <family val="2"/>
      <scheme val="minor"/>
    </font>
    <font>
      <sz val="10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name val="Calibri"/>
      <family val="2"/>
    </font>
    <font>
      <sz val="8"/>
      <name val="Calibri"/>
      <family val="2"/>
      <scheme val="minor"/>
    </font>
    <font>
      <b/>
      <sz val="10"/>
      <name val="Arial"/>
      <family val="2"/>
    </font>
    <font>
      <b/>
      <sz val="16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b/>
      <sz val="10"/>
      <name val="Calibri"/>
      <family val="2"/>
    </font>
    <font>
      <b/>
      <sz val="16"/>
      <name val="Calibri"/>
      <family val="2"/>
      <scheme val="minor"/>
    </font>
    <font>
      <b/>
      <sz val="14"/>
      <name val="Calibri"/>
      <family val="2"/>
    </font>
    <font>
      <b/>
      <u/>
      <sz val="8"/>
      <name val="Calibri"/>
      <family val="2"/>
      <scheme val="minor"/>
    </font>
    <font>
      <b/>
      <sz val="8"/>
      <name val="Calibri"/>
      <family val="2"/>
      <scheme val="minor"/>
    </font>
    <font>
      <i/>
      <sz val="10"/>
      <name val="Calibri"/>
      <family val="2"/>
      <scheme val="minor"/>
    </font>
    <font>
      <b/>
      <sz val="12"/>
      <name val="Calibri"/>
      <family val="2"/>
      <scheme val="minor"/>
    </font>
    <font>
      <sz val="14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rgb="FF000000"/>
      <name val="Arial"/>
      <family val="2"/>
    </font>
    <font>
      <b/>
      <sz val="8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color rgb="FF00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rgb="FFA6A6A6"/>
      </patternFill>
    </fill>
    <fill>
      <patternFill patternType="solid">
        <fgColor theme="0"/>
        <bgColor rgb="FFD9D9D9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FFF00"/>
      </patternFill>
    </fill>
    <fill>
      <patternFill patternType="solid">
        <fgColor rgb="FFFFFFFF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5">
    <xf numFmtId="0" fontId="0" fillId="0" borderId="0"/>
    <xf numFmtId="9" fontId="1" fillId="0" borderId="0" applyFont="0" applyFill="0" applyBorder="0" applyAlignment="0" applyProtection="0"/>
    <xf numFmtId="166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4" fillId="0" borderId="0"/>
    <xf numFmtId="9" fontId="25" fillId="0" borderId="0" applyFont="0" applyFill="0" applyBorder="0" applyAlignment="0" applyProtection="0"/>
    <xf numFmtId="0" fontId="25" fillId="0" borderId="0"/>
    <xf numFmtId="0" fontId="24" fillId="0" borderId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61">
    <xf numFmtId="0" fontId="0" fillId="0" borderId="0" xfId="0"/>
    <xf numFmtId="0" fontId="0" fillId="0" borderId="0" xfId="0" applyAlignment="1">
      <alignment horizontal="left" vertical="center"/>
    </xf>
    <xf numFmtId="4" fontId="0" fillId="0" borderId="0" xfId="0" applyNumberFormat="1"/>
    <xf numFmtId="0" fontId="0" fillId="0" borderId="0" xfId="0" applyAlignment="1">
      <alignment horizontal="center" vertical="center"/>
    </xf>
    <xf numFmtId="49" fontId="9" fillId="0" borderId="15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9" fontId="11" fillId="0" borderId="1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0" borderId="1" xfId="0" applyFont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9" fillId="0" borderId="10" xfId="0" applyNumberFormat="1" applyFont="1" applyBorder="1" applyAlignment="1">
      <alignment horizontal="center" vertical="center"/>
    </xf>
    <xf numFmtId="49" fontId="11" fillId="0" borderId="15" xfId="0" applyNumberFormat="1" applyFont="1" applyBorder="1" applyAlignment="1">
      <alignment horizontal="center" vertical="center"/>
    </xf>
    <xf numFmtId="49" fontId="9" fillId="0" borderId="12" xfId="0" applyNumberFormat="1" applyFont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4" fontId="11" fillId="0" borderId="0" xfId="0" applyNumberFormat="1" applyFont="1" applyAlignment="1">
      <alignment horizontal="center" vertical="center"/>
    </xf>
    <xf numFmtId="49" fontId="9" fillId="0" borderId="15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/>
    </xf>
    <xf numFmtId="49" fontId="9" fillId="0" borderId="13" xfId="0" applyNumberFormat="1" applyFont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166" fontId="9" fillId="2" borderId="1" xfId="2" applyFont="1" applyFill="1" applyBorder="1" applyAlignment="1" applyProtection="1">
      <alignment horizontal="center" vertical="center"/>
      <protection locked="0"/>
    </xf>
    <xf numFmtId="4" fontId="11" fillId="0" borderId="1" xfId="0" applyNumberFormat="1" applyFont="1" applyBorder="1" applyAlignment="1">
      <alignment horizontal="center" vertical="center"/>
    </xf>
    <xf numFmtId="4" fontId="13" fillId="3" borderId="1" xfId="0" applyNumberFormat="1" applyFont="1" applyFill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 applyProtection="1">
      <alignment horizontal="center" vertical="center"/>
      <protection locked="0"/>
    </xf>
    <xf numFmtId="14" fontId="11" fillId="0" borderId="1" xfId="0" applyNumberFormat="1" applyFont="1" applyBorder="1" applyAlignment="1" applyProtection="1">
      <alignment horizontal="center" vertical="center"/>
      <protection locked="0"/>
    </xf>
    <xf numFmtId="0" fontId="12" fillId="0" borderId="1" xfId="0" applyFont="1" applyBorder="1" applyAlignment="1">
      <alignment horizontal="center" vertical="center" wrapText="1"/>
    </xf>
    <xf numFmtId="4" fontId="11" fillId="2" borderId="5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distributed" vertical="center"/>
    </xf>
    <xf numFmtId="4" fontId="11" fillId="2" borderId="1" xfId="0" applyNumberFormat="1" applyFont="1" applyFill="1" applyBorder="1" applyAlignment="1" applyProtection="1">
      <alignment horizontal="distributed" vertical="center"/>
      <protection locked="0"/>
    </xf>
    <xf numFmtId="0" fontId="13" fillId="0" borderId="2" xfId="0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distributed" vertical="center"/>
    </xf>
    <xf numFmtId="0" fontId="13" fillId="0" borderId="1" xfId="0" applyFont="1" applyBorder="1" applyAlignment="1">
      <alignment horizontal="left" vertical="center"/>
    </xf>
    <xf numFmtId="4" fontId="9" fillId="2" borderId="1" xfId="0" applyNumberFormat="1" applyFont="1" applyFill="1" applyBorder="1" applyAlignment="1">
      <alignment horizontal="distributed" vertical="center"/>
    </xf>
    <xf numFmtId="4" fontId="9" fillId="0" borderId="1" xfId="0" applyNumberFormat="1" applyFont="1" applyBorder="1" applyAlignment="1">
      <alignment horizontal="distributed" vertical="center"/>
    </xf>
    <xf numFmtId="0" fontId="11" fillId="0" borderId="1" xfId="0" applyFont="1" applyBorder="1" applyAlignment="1">
      <alignment vertical="center"/>
    </xf>
    <xf numFmtId="0" fontId="18" fillId="0" borderId="5" xfId="0" applyFont="1" applyBorder="1" applyAlignment="1">
      <alignment vertical="center" wrapText="1"/>
    </xf>
    <xf numFmtId="0" fontId="11" fillId="0" borderId="0" xfId="0" applyFont="1" applyAlignment="1">
      <alignment vertical="center"/>
    </xf>
    <xf numFmtId="4" fontId="11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/>
    </xf>
    <xf numFmtId="4" fontId="5" fillId="0" borderId="0" xfId="0" applyNumberFormat="1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11" fillId="0" borderId="2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0" fillId="2" borderId="0" xfId="0" applyFill="1" applyAlignment="1">
      <alignment vertical="center"/>
    </xf>
    <xf numFmtId="4" fontId="11" fillId="0" borderId="1" xfId="0" applyNumberFormat="1" applyFont="1" applyBorder="1" applyAlignment="1" applyProtection="1">
      <alignment vertical="center"/>
      <protection locked="0"/>
    </xf>
    <xf numFmtId="4" fontId="11" fillId="0" borderId="1" xfId="0" applyNumberFormat="1" applyFont="1" applyBorder="1" applyAlignment="1" applyProtection="1">
      <alignment horizontal="center" vertical="center"/>
      <protection locked="0"/>
    </xf>
    <xf numFmtId="14" fontId="11" fillId="0" borderId="1" xfId="0" applyNumberFormat="1" applyFont="1" applyBorder="1" applyAlignment="1" applyProtection="1">
      <alignment vertical="center"/>
      <protection locked="0"/>
    </xf>
    <xf numFmtId="0" fontId="15" fillId="0" borderId="2" xfId="0" applyFont="1" applyBorder="1" applyAlignment="1">
      <alignment vertical="center"/>
    </xf>
    <xf numFmtId="0" fontId="15" fillId="0" borderId="3" xfId="0" applyFont="1" applyBorder="1" applyAlignment="1">
      <alignment vertical="center"/>
    </xf>
    <xf numFmtId="4" fontId="15" fillId="0" borderId="1" xfId="0" applyNumberFormat="1" applyFont="1" applyBorder="1" applyAlignment="1">
      <alignment horizontal="distributed" vertical="center"/>
    </xf>
    <xf numFmtId="4" fontId="15" fillId="0" borderId="1" xfId="0" applyNumberFormat="1" applyFont="1" applyBorder="1" applyAlignment="1" applyProtection="1">
      <alignment horizontal="distributed" vertical="center"/>
      <protection locked="0"/>
    </xf>
    <xf numFmtId="0" fontId="4" fillId="2" borderId="0" xfId="0" applyFont="1" applyFill="1" applyAlignment="1">
      <alignment vertical="center"/>
    </xf>
    <xf numFmtId="0" fontId="16" fillId="2" borderId="1" xfId="0" applyFont="1" applyFill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4" fontId="0" fillId="0" borderId="0" xfId="0" applyNumberFormat="1" applyAlignment="1">
      <alignment vertical="center"/>
    </xf>
    <xf numFmtId="4" fontId="13" fillId="3" borderId="1" xfId="0" applyNumberFormat="1" applyFont="1" applyFill="1" applyBorder="1" applyAlignment="1">
      <alignment horizontal="center" vertical="center"/>
    </xf>
    <xf numFmtId="4" fontId="13" fillId="3" borderId="1" xfId="0" applyNumberFormat="1" applyFont="1" applyFill="1" applyBorder="1" applyAlignment="1">
      <alignment horizontal="distributed" vertical="center"/>
    </xf>
    <xf numFmtId="4" fontId="15" fillId="3" borderId="1" xfId="1" applyNumberFormat="1" applyFont="1" applyFill="1" applyBorder="1" applyAlignment="1" applyProtection="1">
      <alignment horizontal="center" vertical="center"/>
    </xf>
    <xf numFmtId="4" fontId="13" fillId="3" borderId="1" xfId="1" applyNumberFormat="1" applyFont="1" applyFill="1" applyBorder="1" applyAlignment="1" applyProtection="1">
      <alignment horizontal="center" vertical="center"/>
    </xf>
    <xf numFmtId="0" fontId="11" fillId="0" borderId="5" xfId="0" applyFont="1" applyBorder="1" applyAlignment="1">
      <alignment vertical="center"/>
    </xf>
    <xf numFmtId="4" fontId="12" fillId="3" borderId="1" xfId="0" applyNumberFormat="1" applyFont="1" applyFill="1" applyBorder="1" applyAlignment="1">
      <alignment horizontal="distributed" vertical="center"/>
    </xf>
    <xf numFmtId="4" fontId="13" fillId="3" borderId="1" xfId="0" quotePrefix="1" applyNumberFormat="1" applyFont="1" applyFill="1" applyBorder="1" applyAlignment="1">
      <alignment horizontal="distributed" vertical="center"/>
    </xf>
    <xf numFmtId="0" fontId="11" fillId="2" borderId="5" xfId="0" applyFont="1" applyFill="1" applyBorder="1" applyAlignment="1">
      <alignment horizontal="left" vertical="center"/>
    </xf>
    <xf numFmtId="2" fontId="15" fillId="0" borderId="1" xfId="1" applyNumberFormat="1" applyFont="1" applyFill="1" applyBorder="1" applyAlignment="1" applyProtection="1">
      <alignment horizontal="center" vertical="center"/>
    </xf>
    <xf numFmtId="4" fontId="15" fillId="0" borderId="1" xfId="1" applyNumberFormat="1" applyFont="1" applyFill="1" applyBorder="1" applyAlignment="1" applyProtection="1">
      <alignment horizontal="center" vertical="center"/>
      <protection locked="0"/>
    </xf>
    <xf numFmtId="170" fontId="15" fillId="0" borderId="1" xfId="1" applyNumberFormat="1" applyFont="1" applyFill="1" applyBorder="1" applyAlignment="1" applyProtection="1">
      <alignment horizontal="center" vertical="center"/>
    </xf>
    <xf numFmtId="170" fontId="13" fillId="3" borderId="1" xfId="1" applyNumberFormat="1" applyFont="1" applyFill="1" applyBorder="1" applyAlignment="1" applyProtection="1">
      <alignment horizontal="center" vertical="center"/>
    </xf>
    <xf numFmtId="170" fontId="15" fillId="0" borderId="1" xfId="1" applyNumberFormat="1" applyFont="1" applyBorder="1" applyAlignment="1" applyProtection="1">
      <alignment horizontal="center" vertical="center"/>
    </xf>
    <xf numFmtId="170" fontId="15" fillId="0" borderId="1" xfId="1" applyNumberFormat="1" applyFont="1" applyBorder="1" applyAlignment="1" applyProtection="1">
      <alignment horizontal="center" vertical="center"/>
      <protection locked="0"/>
    </xf>
    <xf numFmtId="170" fontId="9" fillId="2" borderId="1" xfId="1" applyNumberFormat="1" applyFont="1" applyFill="1" applyBorder="1" applyAlignment="1" applyProtection="1">
      <alignment horizontal="center" vertical="center"/>
    </xf>
    <xf numFmtId="170" fontId="15" fillId="3" borderId="1" xfId="1" applyNumberFormat="1" applyFont="1" applyFill="1" applyBorder="1" applyAlignment="1" applyProtection="1">
      <alignment horizontal="center" vertical="center"/>
    </xf>
    <xf numFmtId="170" fontId="15" fillId="2" borderId="1" xfId="1" applyNumberFormat="1" applyFont="1" applyFill="1" applyBorder="1" applyAlignment="1" applyProtection="1">
      <alignment horizontal="center" vertical="center"/>
      <protection locked="0"/>
    </xf>
    <xf numFmtId="170" fontId="11" fillId="0" borderId="0" xfId="0" applyNumberFormat="1" applyFont="1" applyAlignment="1">
      <alignment vertical="center"/>
    </xf>
    <xf numFmtId="170" fontId="13" fillId="3" borderId="1" xfId="1" applyNumberFormat="1" applyFont="1" applyFill="1" applyBorder="1" applyAlignment="1" applyProtection="1">
      <alignment vertical="center"/>
    </xf>
    <xf numFmtId="170" fontId="13" fillId="3" borderId="1" xfId="0" applyNumberFormat="1" applyFont="1" applyFill="1" applyBorder="1" applyAlignment="1">
      <alignment horizontal="center" vertical="center"/>
    </xf>
    <xf numFmtId="170" fontId="15" fillId="0" borderId="5" xfId="1" applyNumberFormat="1" applyFont="1" applyFill="1" applyBorder="1" applyAlignment="1" applyProtection="1">
      <alignment horizontal="center" vertical="center"/>
    </xf>
    <xf numFmtId="170" fontId="13" fillId="3" borderId="1" xfId="0" applyNumberFormat="1" applyFont="1" applyFill="1" applyBorder="1" applyAlignment="1">
      <alignment horizontal="distributed" vertical="center"/>
    </xf>
    <xf numFmtId="170" fontId="11" fillId="0" borderId="1" xfId="1" applyNumberFormat="1" applyFont="1" applyFill="1" applyBorder="1" applyAlignment="1" applyProtection="1">
      <alignment horizontal="distributed" vertical="center"/>
    </xf>
    <xf numFmtId="170" fontId="11" fillId="0" borderId="1" xfId="0" applyNumberFormat="1" applyFont="1" applyBorder="1" applyAlignment="1">
      <alignment horizontal="distributed" vertical="center"/>
    </xf>
    <xf numFmtId="170" fontId="15" fillId="0" borderId="1" xfId="1" applyNumberFormat="1" applyFont="1" applyFill="1" applyBorder="1" applyAlignment="1" applyProtection="1">
      <alignment horizontal="center" vertical="center"/>
      <protection locked="0"/>
    </xf>
    <xf numFmtId="170" fontId="15" fillId="0" borderId="5" xfId="1" applyNumberFormat="1" applyFont="1" applyBorder="1" applyAlignment="1" applyProtection="1">
      <alignment horizontal="center" vertical="center"/>
    </xf>
    <xf numFmtId="4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/>
    </xf>
    <xf numFmtId="0" fontId="20" fillId="0" borderId="0" xfId="0" applyFont="1" applyAlignment="1">
      <alignment vertical="center"/>
    </xf>
    <xf numFmtId="170" fontId="20" fillId="0" borderId="0" xfId="0" applyNumberFormat="1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13" fillId="3" borderId="0" xfId="0" applyFont="1" applyFill="1" applyAlignment="1">
      <alignment horizontal="center" vertical="center"/>
    </xf>
    <xf numFmtId="4" fontId="12" fillId="3" borderId="0" xfId="0" applyNumberFormat="1" applyFont="1" applyFill="1" applyAlignment="1">
      <alignment horizontal="distributed" vertical="center"/>
    </xf>
    <xf numFmtId="0" fontId="10" fillId="3" borderId="1" xfId="0" applyFont="1" applyFill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1" fontId="15" fillId="0" borderId="1" xfId="1" applyNumberFormat="1" applyFont="1" applyBorder="1" applyAlignment="1" applyProtection="1">
      <alignment horizontal="center" vertical="center"/>
    </xf>
    <xf numFmtId="4" fontId="15" fillId="6" borderId="1" xfId="0" applyNumberFormat="1" applyFont="1" applyFill="1" applyBorder="1" applyAlignment="1" applyProtection="1">
      <alignment horizontal="distributed" vertical="center"/>
      <protection locked="0"/>
    </xf>
    <xf numFmtId="4" fontId="11" fillId="6" borderId="1" xfId="0" applyNumberFormat="1" applyFont="1" applyFill="1" applyBorder="1" applyAlignment="1">
      <alignment horizontal="distributed" vertical="center"/>
    </xf>
    <xf numFmtId="0" fontId="13" fillId="6" borderId="1" xfId="0" applyFont="1" applyFill="1" applyBorder="1" applyAlignment="1">
      <alignment horizontal="center" vertical="center"/>
    </xf>
    <xf numFmtId="0" fontId="15" fillId="6" borderId="2" xfId="0" applyFont="1" applyFill="1" applyBorder="1" applyAlignment="1">
      <alignment vertical="center"/>
    </xf>
    <xf numFmtId="0" fontId="15" fillId="6" borderId="3" xfId="0" applyFont="1" applyFill="1" applyBorder="1" applyAlignment="1">
      <alignment vertical="center"/>
    </xf>
    <xf numFmtId="4" fontId="11" fillId="6" borderId="5" xfId="0" applyNumberFormat="1" applyFont="1" applyFill="1" applyBorder="1" applyAlignment="1">
      <alignment horizontal="center" vertical="center"/>
    </xf>
    <xf numFmtId="0" fontId="11" fillId="0" borderId="4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justify" vertical="center" wrapText="1"/>
    </xf>
    <xf numFmtId="0" fontId="11" fillId="0" borderId="4" xfId="0" applyFont="1" applyBorder="1" applyAlignment="1">
      <alignment horizontal="justify" vertical="center" wrapText="1"/>
    </xf>
    <xf numFmtId="0" fontId="11" fillId="0" borderId="3" xfId="0" applyFont="1" applyBorder="1" applyAlignment="1">
      <alignment horizontal="left" vertical="center" wrapText="1"/>
    </xf>
    <xf numFmtId="4" fontId="20" fillId="6" borderId="1" xfId="0" applyNumberFormat="1" applyFont="1" applyFill="1" applyBorder="1" applyAlignment="1">
      <alignment horizontal="distributed" vertical="center"/>
    </xf>
    <xf numFmtId="170" fontId="15" fillId="6" borderId="1" xfId="1" applyNumberFormat="1" applyFont="1" applyFill="1" applyBorder="1" applyAlignment="1" applyProtection="1">
      <alignment horizontal="center" vertical="center"/>
    </xf>
    <xf numFmtId="0" fontId="11" fillId="6" borderId="12" xfId="0" applyFont="1" applyFill="1" applyBorder="1" applyAlignment="1">
      <alignment horizontal="center" vertical="center"/>
    </xf>
    <xf numFmtId="0" fontId="11" fillId="6" borderId="14" xfId="0" applyFont="1" applyFill="1" applyBorder="1" applyAlignment="1">
      <alignment horizontal="center" vertical="center"/>
    </xf>
    <xf numFmtId="0" fontId="11" fillId="6" borderId="13" xfId="0" applyFont="1" applyFill="1" applyBorder="1" applyAlignment="1">
      <alignment horizontal="center" vertical="center"/>
    </xf>
    <xf numFmtId="4" fontId="15" fillId="6" borderId="1" xfId="0" applyNumberFormat="1" applyFont="1" applyFill="1" applyBorder="1" applyAlignment="1">
      <alignment horizontal="distributed" vertical="center"/>
    </xf>
    <xf numFmtId="4" fontId="11" fillId="6" borderId="1" xfId="0" applyNumberFormat="1" applyFont="1" applyFill="1" applyBorder="1" applyAlignment="1" applyProtection="1">
      <alignment horizontal="distributed" vertical="center"/>
      <protection locked="0"/>
    </xf>
    <xf numFmtId="0" fontId="13" fillId="0" borderId="7" xfId="0" applyFont="1" applyBorder="1" applyAlignment="1">
      <alignment horizontal="center" vertical="center"/>
    </xf>
    <xf numFmtId="0" fontId="13" fillId="2" borderId="0" xfId="0" applyFont="1" applyFill="1" applyAlignment="1">
      <alignment vertical="center"/>
    </xf>
    <xf numFmtId="10" fontId="15" fillId="0" borderId="1" xfId="1" applyNumberFormat="1" applyFont="1" applyBorder="1" applyAlignment="1" applyProtection="1">
      <alignment horizontal="center" vertical="center"/>
      <protection locked="0"/>
    </xf>
    <xf numFmtId="10" fontId="15" fillId="6" borderId="1" xfId="1" applyNumberFormat="1" applyFont="1" applyFill="1" applyBorder="1" applyAlignment="1" applyProtection="1">
      <alignment horizontal="center" vertical="center"/>
      <protection locked="0"/>
    </xf>
    <xf numFmtId="10" fontId="9" fillId="2" borderId="1" xfId="1" applyNumberFormat="1" applyFont="1" applyFill="1" applyBorder="1" applyAlignment="1" applyProtection="1">
      <alignment horizontal="center" vertical="center"/>
    </xf>
    <xf numFmtId="44" fontId="9" fillId="2" borderId="1" xfId="3" applyFont="1" applyFill="1" applyBorder="1" applyAlignment="1" applyProtection="1">
      <alignment horizontal="distributed" vertical="center"/>
    </xf>
    <xf numFmtId="0" fontId="9" fillId="2" borderId="2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 vertical="center"/>
    </xf>
    <xf numFmtId="0" fontId="23" fillId="2" borderId="0" xfId="0" applyFont="1" applyFill="1" applyAlignment="1">
      <alignment vertical="center"/>
    </xf>
    <xf numFmtId="44" fontId="23" fillId="2" borderId="0" xfId="3" applyFont="1" applyFill="1" applyAlignment="1">
      <alignment vertical="center"/>
    </xf>
    <xf numFmtId="0" fontId="30" fillId="2" borderId="0" xfId="0" applyFont="1" applyFill="1" applyAlignment="1">
      <alignment vertical="center"/>
    </xf>
    <xf numFmtId="0" fontId="31" fillId="2" borderId="0" xfId="0" applyFont="1" applyFill="1" applyAlignment="1">
      <alignment horizontal="left" vertical="center" wrapText="1"/>
    </xf>
    <xf numFmtId="0" fontId="32" fillId="7" borderId="11" xfId="0" applyFont="1" applyFill="1" applyBorder="1" applyAlignment="1">
      <alignment horizontal="center" vertical="center" wrapText="1"/>
    </xf>
    <xf numFmtId="0" fontId="32" fillId="7" borderId="15" xfId="0" applyFont="1" applyFill="1" applyBorder="1" applyAlignment="1">
      <alignment horizontal="center" vertical="center" wrapText="1"/>
    </xf>
    <xf numFmtId="1" fontId="32" fillId="7" borderId="15" xfId="0" applyNumberFormat="1" applyFont="1" applyFill="1" applyBorder="1" applyAlignment="1">
      <alignment horizontal="center" vertical="center" wrapText="1"/>
    </xf>
    <xf numFmtId="44" fontId="32" fillId="7" borderId="15" xfId="3" applyFont="1" applyFill="1" applyBorder="1" applyAlignment="1">
      <alignment horizontal="center" vertical="center" wrapText="1"/>
    </xf>
    <xf numFmtId="44" fontId="32" fillId="7" borderId="16" xfId="3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center" vertical="center"/>
    </xf>
    <xf numFmtId="0" fontId="26" fillId="2" borderId="1" xfId="0" applyFont="1" applyFill="1" applyBorder="1" applyAlignment="1">
      <alignment vertical="center" wrapText="1"/>
    </xf>
    <xf numFmtId="1" fontId="26" fillId="2" borderId="1" xfId="0" applyNumberFormat="1" applyFont="1" applyFill="1" applyBorder="1" applyAlignment="1">
      <alignment horizontal="center" vertical="center"/>
    </xf>
    <xf numFmtId="2" fontId="26" fillId="2" borderId="1" xfId="0" applyNumberFormat="1" applyFont="1" applyFill="1" applyBorder="1" applyAlignment="1">
      <alignment horizontal="center" vertical="center"/>
    </xf>
    <xf numFmtId="2" fontId="26" fillId="2" borderId="1" xfId="3" applyNumberFormat="1" applyFont="1" applyFill="1" applyBorder="1" applyAlignment="1">
      <alignment horizontal="center" vertical="center"/>
    </xf>
    <xf numFmtId="44" fontId="26" fillId="2" borderId="1" xfId="3" applyFont="1" applyFill="1" applyBorder="1" applyAlignment="1">
      <alignment horizontal="center" vertical="center"/>
    </xf>
    <xf numFmtId="164" fontId="23" fillId="2" borderId="0" xfId="0" applyNumberFormat="1" applyFont="1" applyFill="1" applyAlignment="1">
      <alignment vertical="center"/>
    </xf>
    <xf numFmtId="44" fontId="30" fillId="2" borderId="2" xfId="3" applyFont="1" applyFill="1" applyBorder="1" applyAlignment="1">
      <alignment vertical="center"/>
    </xf>
    <xf numFmtId="0" fontId="26" fillId="2" borderId="1" xfId="0" applyFont="1" applyFill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10" fontId="10" fillId="2" borderId="0" xfId="0" applyNumberFormat="1" applyFont="1" applyFill="1" applyAlignment="1">
      <alignment vertical="center"/>
    </xf>
    <xf numFmtId="0" fontId="16" fillId="2" borderId="0" xfId="0" applyFont="1" applyFill="1" applyAlignment="1">
      <alignment horizontal="center" vertical="center"/>
    </xf>
    <xf numFmtId="14" fontId="9" fillId="2" borderId="0" xfId="0" applyNumberFormat="1" applyFont="1" applyFill="1" applyAlignment="1" applyProtection="1">
      <alignment horizontal="left" vertical="center"/>
      <protection locked="0"/>
    </xf>
    <xf numFmtId="10" fontId="9" fillId="2" borderId="0" xfId="0" applyNumberFormat="1" applyFont="1" applyFill="1" applyAlignment="1" applyProtection="1">
      <alignment horizontal="left" vertical="center"/>
      <protection locked="0"/>
    </xf>
    <xf numFmtId="0" fontId="27" fillId="2" borderId="0" xfId="0" applyFont="1" applyFill="1" applyAlignment="1">
      <alignment horizontal="center" vertical="center" wrapText="1"/>
    </xf>
    <xf numFmtId="0" fontId="27" fillId="2" borderId="0" xfId="0" applyFont="1" applyFill="1" applyAlignment="1">
      <alignment horizontal="left" vertical="center" wrapText="1"/>
    </xf>
    <xf numFmtId="10" fontId="27" fillId="2" borderId="0" xfId="0" applyNumberFormat="1" applyFont="1" applyFill="1" applyAlignment="1">
      <alignment horizontal="left" vertical="center" wrapText="1"/>
    </xf>
    <xf numFmtId="0" fontId="34" fillId="2" borderId="0" xfId="0" applyFont="1" applyFill="1" applyAlignment="1">
      <alignment vertical="center"/>
    </xf>
    <xf numFmtId="4" fontId="16" fillId="2" borderId="1" xfId="0" applyNumberFormat="1" applyFont="1" applyFill="1" applyBorder="1" applyAlignment="1">
      <alignment horizontal="center" vertical="center"/>
    </xf>
    <xf numFmtId="10" fontId="9" fillId="2" borderId="1" xfId="1" applyNumberFormat="1" applyFont="1" applyFill="1" applyBorder="1" applyAlignment="1" applyProtection="1">
      <alignment horizontal="center" vertical="center"/>
      <protection locked="0"/>
    </xf>
    <xf numFmtId="0" fontId="16" fillId="2" borderId="4" xfId="0" applyFont="1" applyFill="1" applyBorder="1" applyAlignment="1">
      <alignment horizontal="center" vertical="center"/>
    </xf>
    <xf numFmtId="10" fontId="16" fillId="2" borderId="1" xfId="1" applyNumberFormat="1" applyFont="1" applyFill="1" applyBorder="1" applyAlignment="1" applyProtection="1">
      <alignment vertical="center"/>
    </xf>
    <xf numFmtId="44" fontId="16" fillId="2" borderId="1" xfId="3" applyFont="1" applyFill="1" applyBorder="1" applyAlignment="1" applyProtection="1">
      <alignment horizontal="distributed" vertical="center"/>
    </xf>
    <xf numFmtId="10" fontId="16" fillId="2" borderId="1" xfId="0" applyNumberFormat="1" applyFont="1" applyFill="1" applyBorder="1" applyAlignment="1">
      <alignment horizontal="center" vertical="center"/>
    </xf>
    <xf numFmtId="10" fontId="16" fillId="2" borderId="1" xfId="1" applyNumberFormat="1" applyFont="1" applyFill="1" applyBorder="1" applyAlignment="1" applyProtection="1">
      <alignment horizontal="center" vertical="center"/>
    </xf>
    <xf numFmtId="44" fontId="16" fillId="2" borderId="1" xfId="3" applyFont="1" applyFill="1" applyBorder="1" applyAlignment="1" applyProtection="1">
      <alignment horizontal="center" vertical="center"/>
    </xf>
    <xf numFmtId="164" fontId="4" fillId="2" borderId="0" xfId="0" applyNumberFormat="1" applyFont="1" applyFill="1" applyAlignment="1">
      <alignment vertical="center"/>
    </xf>
    <xf numFmtId="0" fontId="16" fillId="2" borderId="5" xfId="0" applyFont="1" applyFill="1" applyBorder="1" applyAlignment="1">
      <alignment horizontal="center" vertical="center"/>
    </xf>
    <xf numFmtId="44" fontId="9" fillId="2" borderId="5" xfId="3" applyFont="1" applyFill="1" applyBorder="1" applyAlignment="1" applyProtection="1">
      <alignment vertical="center"/>
    </xf>
    <xf numFmtId="44" fontId="9" fillId="2" borderId="1" xfId="3" applyFont="1" applyFill="1" applyBorder="1" applyAlignment="1" applyProtection="1">
      <alignment vertical="center"/>
      <protection locked="0"/>
    </xf>
    <xf numFmtId="10" fontId="9" fillId="2" borderId="4" xfId="0" applyNumberFormat="1" applyFont="1" applyFill="1" applyBorder="1" applyAlignment="1">
      <alignment horizontal="left" vertical="center"/>
    </xf>
    <xf numFmtId="44" fontId="9" fillId="2" borderId="5" xfId="3" applyFont="1" applyFill="1" applyBorder="1" applyAlignment="1" applyProtection="1">
      <alignment horizontal="distributed" vertical="center"/>
    </xf>
    <xf numFmtId="44" fontId="9" fillId="2" borderId="5" xfId="3" applyFont="1" applyFill="1" applyBorder="1" applyAlignment="1" applyProtection="1">
      <alignment horizontal="right" vertical="center"/>
    </xf>
    <xf numFmtId="0" fontId="4" fillId="2" borderId="0" xfId="0" applyFont="1" applyFill="1"/>
    <xf numFmtId="0" fontId="24" fillId="2" borderId="0" xfId="0" applyFont="1" applyFill="1"/>
    <xf numFmtId="44" fontId="9" fillId="2" borderId="1" xfId="3" applyFont="1" applyFill="1" applyBorder="1" applyAlignment="1" applyProtection="1">
      <alignment horizontal="center" vertical="center"/>
    </xf>
    <xf numFmtId="170" fontId="4" fillId="2" borderId="0" xfId="0" applyNumberFormat="1" applyFont="1" applyFill="1" applyAlignment="1">
      <alignment vertical="center"/>
    </xf>
    <xf numFmtId="44" fontId="9" fillId="2" borderId="5" xfId="3" applyFont="1" applyFill="1" applyBorder="1" applyAlignment="1" applyProtection="1">
      <alignment horizontal="center" vertical="center"/>
    </xf>
    <xf numFmtId="0" fontId="9" fillId="2" borderId="0" xfId="0" applyFont="1" applyFill="1" applyAlignment="1">
      <alignment vertical="center"/>
    </xf>
    <xf numFmtId="10" fontId="9" fillId="2" borderId="0" xfId="0" applyNumberFormat="1" applyFont="1" applyFill="1" applyAlignment="1">
      <alignment vertical="center"/>
    </xf>
    <xf numFmtId="4" fontId="9" fillId="2" borderId="0" xfId="0" applyNumberFormat="1" applyFont="1" applyFill="1" applyAlignment="1">
      <alignment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44" fontId="9" fillId="2" borderId="1" xfId="3" applyFont="1" applyFill="1" applyBorder="1" applyAlignment="1" applyProtection="1">
      <alignment horizontal="distributed" vertical="center"/>
      <protection locked="0"/>
    </xf>
    <xf numFmtId="0" fontId="9" fillId="2" borderId="1" xfId="0" applyFont="1" applyFill="1" applyBorder="1" applyAlignment="1">
      <alignment vertical="center"/>
    </xf>
    <xf numFmtId="0" fontId="16" fillId="2" borderId="4" xfId="0" applyFont="1" applyFill="1" applyBorder="1" applyAlignment="1">
      <alignment horizontal="center" vertical="center" wrapText="1"/>
    </xf>
    <xf numFmtId="44" fontId="4" fillId="2" borderId="0" xfId="0" applyNumberFormat="1" applyFont="1" applyFill="1" applyAlignment="1">
      <alignment vertical="center"/>
    </xf>
    <xf numFmtId="4" fontId="4" fillId="2" borderId="0" xfId="0" applyNumberFormat="1" applyFont="1" applyFill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10" fontId="9" fillId="2" borderId="1" xfId="0" applyNumberFormat="1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10" fontId="16" fillId="2" borderId="0" xfId="0" applyNumberFormat="1" applyFont="1" applyFill="1" applyAlignment="1">
      <alignment horizontal="center" vertical="center"/>
    </xf>
    <xf numFmtId="4" fontId="16" fillId="2" borderId="0" xfId="0" applyNumberFormat="1" applyFont="1" applyFill="1" applyAlignment="1">
      <alignment horizontal="distributed" vertical="center"/>
    </xf>
    <xf numFmtId="44" fontId="16" fillId="2" borderId="1" xfId="3" applyFont="1" applyFill="1" applyBorder="1" applyAlignment="1" applyProtection="1">
      <alignment horizontal="center" vertical="center" wrapText="1"/>
    </xf>
    <xf numFmtId="0" fontId="31" fillId="2" borderId="19" xfId="0" applyFont="1" applyFill="1" applyBorder="1" applyAlignment="1">
      <alignment horizontal="center" vertical="center" wrapText="1"/>
    </xf>
    <xf numFmtId="0" fontId="31" fillId="2" borderId="25" xfId="0" applyFont="1" applyFill="1" applyBorder="1" applyAlignment="1">
      <alignment horizontal="center" vertical="center" wrapText="1"/>
    </xf>
    <xf numFmtId="44" fontId="9" fillId="2" borderId="1" xfId="3" applyFont="1" applyFill="1" applyBorder="1" applyAlignment="1">
      <alignment vertical="center"/>
    </xf>
    <xf numFmtId="44" fontId="4" fillId="2" borderId="1" xfId="3" applyFont="1" applyFill="1" applyBorder="1"/>
    <xf numFmtId="44" fontId="4" fillId="2" borderId="1" xfId="0" applyNumberFormat="1" applyFont="1" applyFill="1" applyBorder="1"/>
    <xf numFmtId="3" fontId="31" fillId="2" borderId="25" xfId="0" applyNumberFormat="1" applyFont="1" applyFill="1" applyBorder="1" applyAlignment="1">
      <alignment horizontal="center" vertical="center" wrapText="1"/>
    </xf>
    <xf numFmtId="44" fontId="4" fillId="2" borderId="30" xfId="0" applyNumberFormat="1" applyFont="1" applyFill="1" applyBorder="1" applyAlignment="1">
      <alignment horizontal="center" vertical="center"/>
    </xf>
    <xf numFmtId="1" fontId="4" fillId="2" borderId="30" xfId="0" applyNumberFormat="1" applyFont="1" applyFill="1" applyBorder="1" applyAlignment="1">
      <alignment horizontal="center" vertical="center"/>
    </xf>
    <xf numFmtId="1" fontId="4" fillId="2" borderId="0" xfId="0" applyNumberFormat="1" applyFont="1" applyFill="1" applyAlignment="1">
      <alignment horizontal="center" vertical="center"/>
    </xf>
    <xf numFmtId="44" fontId="4" fillId="2" borderId="27" xfId="3" applyFont="1" applyFill="1" applyBorder="1" applyAlignment="1">
      <alignment horizontal="center" vertical="center"/>
    </xf>
    <xf numFmtId="44" fontId="4" fillId="2" borderId="0" xfId="0" applyNumberFormat="1" applyFont="1" applyFill="1"/>
    <xf numFmtId="0" fontId="31" fillId="2" borderId="29" xfId="0" applyFont="1" applyFill="1" applyBorder="1" applyAlignment="1">
      <alignment horizontal="center" vertical="center" wrapText="1"/>
    </xf>
    <xf numFmtId="0" fontId="31" fillId="2" borderId="28" xfId="0" applyFont="1" applyFill="1" applyBorder="1" applyAlignment="1">
      <alignment horizontal="center" vertical="center" wrapText="1"/>
    </xf>
    <xf numFmtId="44" fontId="4" fillId="2" borderId="5" xfId="3" applyFont="1" applyFill="1" applyBorder="1"/>
    <xf numFmtId="0" fontId="4" fillId="2" borderId="30" xfId="0" applyFont="1" applyFill="1" applyBorder="1"/>
    <xf numFmtId="44" fontId="4" fillId="2" borderId="30" xfId="0" applyNumberFormat="1" applyFont="1" applyFill="1" applyBorder="1"/>
    <xf numFmtId="0" fontId="28" fillId="9" borderId="18" xfId="0" applyFont="1" applyFill="1" applyBorder="1" applyAlignment="1">
      <alignment horizontal="center" vertical="center" wrapText="1"/>
    </xf>
    <xf numFmtId="0" fontId="28" fillId="9" borderId="19" xfId="0" applyFont="1" applyFill="1" applyBorder="1" applyAlignment="1">
      <alignment horizontal="center" vertical="center" wrapText="1"/>
    </xf>
    <xf numFmtId="0" fontId="28" fillId="9" borderId="20" xfId="0" applyFont="1" applyFill="1" applyBorder="1" applyAlignment="1">
      <alignment horizontal="center" vertical="center" wrapText="1"/>
    </xf>
    <xf numFmtId="0" fontId="24" fillId="2" borderId="18" xfId="0" applyFont="1" applyFill="1" applyBorder="1" applyAlignment="1">
      <alignment horizontal="center" vertical="center" wrapText="1"/>
    </xf>
    <xf numFmtId="172" fontId="24" fillId="2" borderId="19" xfId="0" applyNumberFormat="1" applyFont="1" applyFill="1" applyBorder="1" applyAlignment="1">
      <alignment horizontal="center" vertical="center" wrapText="1"/>
    </xf>
    <xf numFmtId="173" fontId="24" fillId="10" borderId="19" xfId="0" applyNumberFormat="1" applyFont="1" applyFill="1" applyBorder="1" applyAlignment="1">
      <alignment horizontal="center" vertical="center" wrapText="1"/>
    </xf>
    <xf numFmtId="173" fontId="24" fillId="2" borderId="20" xfId="3" applyNumberFormat="1" applyFont="1" applyFill="1" applyBorder="1" applyAlignment="1">
      <alignment horizontal="center" vertical="center" wrapText="1"/>
    </xf>
    <xf numFmtId="0" fontId="24" fillId="2" borderId="19" xfId="0" applyFont="1" applyFill="1" applyBorder="1" applyAlignment="1">
      <alignment horizontal="center" vertical="center" wrapText="1"/>
    </xf>
    <xf numFmtId="0" fontId="28" fillId="8" borderId="21" xfId="0" applyFont="1" applyFill="1" applyBorder="1" applyAlignment="1">
      <alignment horizontal="center" vertical="center" wrapText="1"/>
    </xf>
    <xf numFmtId="0" fontId="28" fillId="8" borderId="22" xfId="0" applyFont="1" applyFill="1" applyBorder="1" applyAlignment="1">
      <alignment horizontal="center" vertical="center" wrapText="1"/>
    </xf>
    <xf numFmtId="0" fontId="28" fillId="8" borderId="23" xfId="0" applyFont="1" applyFill="1" applyBorder="1" applyAlignment="1">
      <alignment horizontal="center" vertical="center" wrapText="1"/>
    </xf>
    <xf numFmtId="173" fontId="28" fillId="11" borderId="24" xfId="3" applyNumberFormat="1" applyFont="1" applyFill="1" applyBorder="1" applyAlignment="1">
      <alignment horizontal="center" vertical="center" wrapText="1"/>
    </xf>
    <xf numFmtId="173" fontId="28" fillId="11" borderId="24" xfId="0" applyNumberFormat="1" applyFont="1" applyFill="1" applyBorder="1" applyAlignment="1">
      <alignment horizontal="center" vertical="center" wrapText="1"/>
    </xf>
    <xf numFmtId="169" fontId="24" fillId="2" borderId="19" xfId="0" applyNumberFormat="1" applyFont="1" applyFill="1" applyBorder="1" applyAlignment="1">
      <alignment horizontal="center" vertical="center" wrapText="1"/>
    </xf>
    <xf numFmtId="43" fontId="28" fillId="9" borderId="20" xfId="14" applyFont="1" applyFill="1" applyBorder="1" applyAlignment="1">
      <alignment horizontal="center" vertical="center" wrapText="1"/>
    </xf>
    <xf numFmtId="174" fontId="24" fillId="2" borderId="19" xfId="0" applyNumberFormat="1" applyFont="1" applyFill="1" applyBorder="1" applyAlignment="1">
      <alignment horizontal="center" vertical="center" wrapText="1"/>
    </xf>
    <xf numFmtId="43" fontId="24" fillId="2" borderId="20" xfId="14" applyFont="1" applyFill="1" applyBorder="1" applyAlignment="1">
      <alignment horizontal="center" vertical="center" wrapText="1"/>
    </xf>
    <xf numFmtId="43" fontId="28" fillId="11" borderId="24" xfId="14" applyFont="1" applyFill="1" applyBorder="1" applyAlignment="1">
      <alignment horizontal="center" vertical="center" wrapText="1"/>
    </xf>
    <xf numFmtId="173" fontId="24" fillId="2" borderId="20" xfId="0" applyNumberFormat="1" applyFont="1" applyFill="1" applyBorder="1" applyAlignment="1">
      <alignment horizontal="center" vertical="center" wrapText="1"/>
    </xf>
    <xf numFmtId="173" fontId="24" fillId="2" borderId="26" xfId="0" applyNumberFormat="1" applyFont="1" applyFill="1" applyBorder="1" applyAlignment="1">
      <alignment horizontal="center" vertical="center" wrapText="1"/>
    </xf>
    <xf numFmtId="173" fontId="4" fillId="2" borderId="0" xfId="0" applyNumberFormat="1" applyFont="1" applyFill="1"/>
    <xf numFmtId="0" fontId="16" fillId="2" borderId="1" xfId="0" applyFont="1" applyFill="1" applyBorder="1" applyAlignment="1">
      <alignment vertical="center"/>
    </xf>
    <xf numFmtId="44" fontId="4" fillId="2" borderId="1" xfId="3" applyFont="1" applyFill="1" applyBorder="1" applyAlignment="1">
      <alignment horizontal="center" vertical="center"/>
    </xf>
    <xf numFmtId="44" fontId="16" fillId="2" borderId="1" xfId="3" applyFont="1" applyFill="1" applyBorder="1" applyAlignment="1">
      <alignment vertical="center"/>
    </xf>
    <xf numFmtId="0" fontId="31" fillId="2" borderId="0" xfId="0" applyFont="1" applyFill="1" applyAlignment="1">
      <alignment horizontal="center" vertical="center" wrapText="1"/>
    </xf>
    <xf numFmtId="44" fontId="4" fillId="2" borderId="0" xfId="3" applyFont="1" applyFill="1" applyBorder="1"/>
    <xf numFmtId="0" fontId="39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44" fontId="4" fillId="2" borderId="1" xfId="3" applyFont="1" applyFill="1" applyBorder="1" applyAlignment="1">
      <alignment vertical="center"/>
    </xf>
    <xf numFmtId="0" fontId="28" fillId="2" borderId="0" xfId="0" applyFont="1" applyFill="1" applyBorder="1" applyAlignment="1">
      <alignment vertical="center"/>
    </xf>
    <xf numFmtId="4" fontId="28" fillId="2" borderId="0" xfId="0" applyNumberFormat="1" applyFont="1" applyFill="1" applyBorder="1" applyAlignment="1">
      <alignment vertical="center"/>
    </xf>
    <xf numFmtId="0" fontId="28" fillId="8" borderId="0" xfId="0" applyFont="1" applyFill="1" applyBorder="1" applyAlignment="1">
      <alignment horizontal="center" vertical="center" wrapText="1"/>
    </xf>
    <xf numFmtId="173" fontId="28" fillId="11" borderId="0" xfId="3" applyNumberFormat="1" applyFont="1" applyFill="1" applyBorder="1" applyAlignment="1">
      <alignment horizontal="center" vertical="center" wrapText="1"/>
    </xf>
    <xf numFmtId="173" fontId="28" fillId="11" borderId="0" xfId="0" applyNumberFormat="1" applyFont="1" applyFill="1" applyBorder="1" applyAlignment="1">
      <alignment horizontal="center" vertical="center" wrapText="1"/>
    </xf>
    <xf numFmtId="0" fontId="28" fillId="9" borderId="0" xfId="0" applyFont="1" applyFill="1" applyBorder="1" applyAlignment="1">
      <alignment horizontal="center" vertical="center" wrapText="1"/>
    </xf>
    <xf numFmtId="0" fontId="24" fillId="2" borderId="0" xfId="0" applyFont="1" applyFill="1" applyBorder="1" applyAlignment="1">
      <alignment horizontal="center" vertical="center" wrapText="1"/>
    </xf>
    <xf numFmtId="172" fontId="24" fillId="2" borderId="0" xfId="0" applyNumberFormat="1" applyFont="1" applyFill="1" applyBorder="1" applyAlignment="1">
      <alignment horizontal="center" vertical="center" wrapText="1"/>
    </xf>
    <xf numFmtId="173" fontId="24" fillId="10" borderId="0" xfId="0" applyNumberFormat="1" applyFont="1" applyFill="1" applyBorder="1" applyAlignment="1">
      <alignment horizontal="center" vertical="center" wrapText="1"/>
    </xf>
    <xf numFmtId="173" fontId="24" fillId="2" borderId="0" xfId="3" applyNumberFormat="1" applyFont="1" applyFill="1" applyBorder="1" applyAlignment="1">
      <alignment horizontal="center" vertical="center" wrapText="1"/>
    </xf>
    <xf numFmtId="169" fontId="24" fillId="2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/>
    <xf numFmtId="4" fontId="40" fillId="0" borderId="0" xfId="0" applyNumberFormat="1" applyFont="1"/>
    <xf numFmtId="4" fontId="41" fillId="0" borderId="0" xfId="0" applyNumberFormat="1" applyFont="1"/>
    <xf numFmtId="0" fontId="41" fillId="0" borderId="0" xfId="0" applyFont="1"/>
    <xf numFmtId="4" fontId="42" fillId="0" borderId="0" xfId="0" applyNumberFormat="1" applyFont="1"/>
    <xf numFmtId="0" fontId="12" fillId="0" borderId="0" xfId="0" applyFont="1"/>
    <xf numFmtId="44" fontId="26" fillId="2" borderId="5" xfId="3" applyFont="1" applyFill="1" applyBorder="1" applyAlignment="1">
      <alignment horizontal="center" vertical="center"/>
    </xf>
    <xf numFmtId="44" fontId="30" fillId="2" borderId="27" xfId="3" applyFont="1" applyFill="1" applyBorder="1" applyAlignment="1">
      <alignment vertical="center"/>
    </xf>
    <xf numFmtId="0" fontId="23" fillId="2" borderId="0" xfId="0" applyFont="1" applyFill="1" applyBorder="1" applyAlignment="1">
      <alignment vertical="center"/>
    </xf>
    <xf numFmtId="8" fontId="12" fillId="12" borderId="0" xfId="0" applyNumberFormat="1" applyFont="1" applyFill="1" applyBorder="1"/>
    <xf numFmtId="8" fontId="43" fillId="12" borderId="0" xfId="0" applyNumberFormat="1" applyFont="1" applyFill="1" applyBorder="1"/>
    <xf numFmtId="0" fontId="26" fillId="2" borderId="0" xfId="5" applyFont="1" applyFill="1" applyBorder="1" applyAlignment="1">
      <alignment vertical="center"/>
    </xf>
    <xf numFmtId="44" fontId="23" fillId="2" borderId="0" xfId="3" applyFont="1" applyFill="1" applyBorder="1" applyAlignment="1">
      <alignment vertical="center"/>
    </xf>
    <xf numFmtId="44" fontId="32" fillId="7" borderId="0" xfId="3" applyFont="1" applyFill="1" applyBorder="1" applyAlignment="1">
      <alignment horizontal="center" vertical="center" wrapText="1"/>
    </xf>
    <xf numFmtId="0" fontId="26" fillId="2" borderId="0" xfId="0" applyFont="1" applyFill="1" applyBorder="1" applyAlignment="1">
      <alignment vertical="center" wrapText="1"/>
    </xf>
    <xf numFmtId="1" fontId="26" fillId="2" borderId="0" xfId="0" applyNumberFormat="1" applyFont="1" applyFill="1" applyBorder="1" applyAlignment="1">
      <alignment horizontal="center" vertical="center"/>
    </xf>
    <xf numFmtId="2" fontId="26" fillId="2" borderId="0" xfId="0" applyNumberFormat="1" applyFont="1" applyFill="1" applyBorder="1" applyAlignment="1">
      <alignment horizontal="center" vertical="center"/>
    </xf>
    <xf numFmtId="2" fontId="26" fillId="2" borderId="0" xfId="3" applyNumberFormat="1" applyFont="1" applyFill="1" applyBorder="1" applyAlignment="1">
      <alignment horizontal="center" vertical="center"/>
    </xf>
    <xf numFmtId="44" fontId="26" fillId="2" borderId="0" xfId="3" applyFont="1" applyFill="1" applyBorder="1" applyAlignment="1">
      <alignment horizontal="center" vertical="center"/>
    </xf>
    <xf numFmtId="44" fontId="23" fillId="2" borderId="0" xfId="0" applyNumberFormat="1" applyFont="1" applyFill="1" applyBorder="1" applyAlignment="1">
      <alignment vertical="center"/>
    </xf>
    <xf numFmtId="44" fontId="26" fillId="2" borderId="8" xfId="3" applyFont="1" applyFill="1" applyBorder="1" applyAlignment="1">
      <alignment horizontal="center" vertical="center"/>
    </xf>
    <xf numFmtId="44" fontId="30" fillId="2" borderId="3" xfId="3" applyFont="1" applyFill="1" applyBorder="1" applyAlignment="1">
      <alignment vertical="center"/>
    </xf>
    <xf numFmtId="0" fontId="26" fillId="2" borderId="7" xfId="0" applyFont="1" applyFill="1" applyBorder="1" applyAlignment="1">
      <alignment horizontal="center" vertical="center"/>
    </xf>
    <xf numFmtId="0" fontId="26" fillId="2" borderId="9" xfId="0" applyFont="1" applyFill="1" applyBorder="1" applyAlignment="1">
      <alignment vertical="center" wrapText="1"/>
    </xf>
    <xf numFmtId="1" fontId="26" fillId="2" borderId="9" xfId="0" applyNumberFormat="1" applyFont="1" applyFill="1" applyBorder="1" applyAlignment="1">
      <alignment horizontal="center" vertical="center"/>
    </xf>
    <xf numFmtId="2" fontId="32" fillId="2" borderId="9" xfId="0" applyNumberFormat="1" applyFont="1" applyFill="1" applyBorder="1" applyAlignment="1">
      <alignment horizontal="right" vertical="center"/>
    </xf>
    <xf numFmtId="1" fontId="26" fillId="2" borderId="9" xfId="3" applyNumberFormat="1" applyFont="1" applyFill="1" applyBorder="1" applyAlignment="1">
      <alignment horizontal="center" vertical="center"/>
    </xf>
    <xf numFmtId="44" fontId="26" fillId="2" borderId="9" xfId="3" applyFont="1" applyFill="1" applyBorder="1" applyAlignment="1">
      <alignment horizontal="center" vertical="center"/>
    </xf>
    <xf numFmtId="173" fontId="44" fillId="10" borderId="19" xfId="0" applyNumberFormat="1" applyFont="1" applyFill="1" applyBorder="1" applyAlignment="1">
      <alignment horizontal="center" vertical="center" wrapText="1"/>
    </xf>
    <xf numFmtId="0" fontId="45" fillId="8" borderId="23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1" fillId="5" borderId="2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21" fillId="0" borderId="0" xfId="0" applyFont="1" applyAlignment="1">
      <alignment horizontal="left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/>
    </xf>
    <xf numFmtId="0" fontId="17" fillId="0" borderId="3" xfId="0" applyFont="1" applyBorder="1" applyAlignment="1">
      <alignment horizontal="left" vertical="center"/>
    </xf>
    <xf numFmtId="0" fontId="17" fillId="0" borderId="4" xfId="0" applyFont="1" applyBorder="1" applyAlignment="1">
      <alignment horizontal="left" vertical="center"/>
    </xf>
    <xf numFmtId="0" fontId="17" fillId="0" borderId="2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left" vertical="center"/>
    </xf>
    <xf numFmtId="0" fontId="11" fillId="2" borderId="4" xfId="0" applyFont="1" applyFill="1" applyBorder="1" applyAlignment="1">
      <alignment horizontal="left" vertical="center"/>
    </xf>
    <xf numFmtId="0" fontId="13" fillId="0" borderId="5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center" wrapText="1"/>
    </xf>
    <xf numFmtId="0" fontId="18" fillId="0" borderId="6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3" fillId="3" borderId="2" xfId="0" applyFont="1" applyFill="1" applyBorder="1" applyAlignment="1">
      <alignment horizontal="justify" vertical="center" wrapText="1"/>
    </xf>
    <xf numFmtId="0" fontId="13" fillId="3" borderId="4" xfId="0" applyFont="1" applyFill="1" applyBorder="1" applyAlignment="1">
      <alignment horizontal="justify" vertical="center" wrapText="1"/>
    </xf>
    <xf numFmtId="0" fontId="11" fillId="0" borderId="2" xfId="0" applyFont="1" applyBorder="1" applyAlignment="1">
      <alignment horizontal="justify" vertical="center" wrapText="1"/>
    </xf>
    <xf numFmtId="0" fontId="11" fillId="0" borderId="4" xfId="0" applyFont="1" applyBorder="1" applyAlignment="1">
      <alignment horizontal="justify" vertical="center" wrapText="1"/>
    </xf>
    <xf numFmtId="0" fontId="11" fillId="0" borderId="3" xfId="0" applyFont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left" vertical="center"/>
    </xf>
    <xf numFmtId="0" fontId="17" fillId="2" borderId="2" xfId="0" applyFont="1" applyFill="1" applyBorder="1" applyAlignment="1">
      <alignment horizontal="left" vertical="center"/>
    </xf>
    <xf numFmtId="0" fontId="17" fillId="2" borderId="3" xfId="0" applyFont="1" applyFill="1" applyBorder="1" applyAlignment="1">
      <alignment horizontal="left" vertical="center"/>
    </xf>
    <xf numFmtId="0" fontId="17" fillId="2" borderId="4" xfId="0" applyFont="1" applyFill="1" applyBorder="1" applyAlignment="1">
      <alignment horizontal="left" vertical="center"/>
    </xf>
    <xf numFmtId="0" fontId="11" fillId="6" borderId="2" xfId="0" applyFont="1" applyFill="1" applyBorder="1" applyAlignment="1">
      <alignment horizontal="left" vertical="center"/>
    </xf>
    <xf numFmtId="0" fontId="11" fillId="6" borderId="3" xfId="0" applyFont="1" applyFill="1" applyBorder="1" applyAlignment="1">
      <alignment horizontal="left" vertical="center"/>
    </xf>
    <xf numFmtId="0" fontId="11" fillId="6" borderId="4" xfId="0" applyFont="1" applyFill="1" applyBorder="1" applyAlignment="1">
      <alignment horizontal="left" vertical="center"/>
    </xf>
    <xf numFmtId="0" fontId="15" fillId="0" borderId="2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15" fillId="0" borderId="2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10" fontId="12" fillId="0" borderId="2" xfId="0" applyNumberFormat="1" applyFont="1" applyBorder="1" applyAlignment="1">
      <alignment horizontal="center" vertical="center"/>
    </xf>
    <xf numFmtId="10" fontId="12" fillId="0" borderId="4" xfId="0" applyNumberFormat="1" applyFont="1" applyBorder="1" applyAlignment="1">
      <alignment horizontal="center" vertical="center"/>
    </xf>
    <xf numFmtId="0" fontId="12" fillId="6" borderId="2" xfId="0" applyFont="1" applyFill="1" applyBorder="1" applyAlignment="1" applyProtection="1">
      <alignment horizontal="center" vertical="center"/>
      <protection locked="0"/>
    </xf>
    <xf numFmtId="0" fontId="12" fillId="6" borderId="4" xfId="0" applyFont="1" applyFill="1" applyBorder="1" applyAlignment="1" applyProtection="1">
      <alignment horizontal="center" vertical="center"/>
      <protection locked="0"/>
    </xf>
    <xf numFmtId="1" fontId="11" fillId="2" borderId="2" xfId="0" applyNumberFormat="1" applyFont="1" applyFill="1" applyBorder="1" applyAlignment="1" applyProtection="1">
      <alignment horizontal="center" vertical="center"/>
      <protection locked="0"/>
    </xf>
    <xf numFmtId="1" fontId="11" fillId="2" borderId="4" xfId="0" applyNumberFormat="1" applyFont="1" applyFill="1" applyBorder="1" applyAlignment="1" applyProtection="1">
      <alignment horizontal="center" vertical="center"/>
      <protection locked="0"/>
    </xf>
    <xf numFmtId="165" fontId="13" fillId="0" borderId="2" xfId="0" applyNumberFormat="1" applyFont="1" applyBorder="1" applyAlignment="1">
      <alignment horizontal="center" vertical="center"/>
    </xf>
    <xf numFmtId="165" fontId="13" fillId="0" borderId="4" xfId="0" applyNumberFormat="1" applyFont="1" applyBorder="1" applyAlignment="1">
      <alignment horizontal="center" vertical="center"/>
    </xf>
    <xf numFmtId="0" fontId="13" fillId="0" borderId="2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center" vertical="center"/>
      <protection locked="0"/>
    </xf>
    <xf numFmtId="14" fontId="12" fillId="0" borderId="2" xfId="0" applyNumberFormat="1" applyFont="1" applyBorder="1" applyAlignment="1" applyProtection="1">
      <alignment horizontal="center" vertical="center"/>
      <protection locked="0"/>
    </xf>
    <xf numFmtId="14" fontId="12" fillId="0" borderId="4" xfId="0" applyNumberFormat="1" applyFont="1" applyBorder="1" applyAlignment="1" applyProtection="1">
      <alignment horizontal="center" vertical="center"/>
      <protection locked="0"/>
    </xf>
    <xf numFmtId="0" fontId="19" fillId="2" borderId="3" xfId="0" applyFont="1" applyFill="1" applyBorder="1" applyAlignment="1">
      <alignment horizontal="center" vertical="center"/>
    </xf>
    <xf numFmtId="0" fontId="20" fillId="6" borderId="2" xfId="0" applyFont="1" applyFill="1" applyBorder="1" applyAlignment="1">
      <alignment horizontal="left" vertical="center"/>
    </xf>
    <xf numFmtId="0" fontId="20" fillId="6" borderId="3" xfId="0" applyFont="1" applyFill="1" applyBorder="1" applyAlignment="1">
      <alignment horizontal="left" vertical="center"/>
    </xf>
    <xf numFmtId="0" fontId="20" fillId="6" borderId="4" xfId="0" applyFont="1" applyFill="1" applyBorder="1" applyAlignment="1">
      <alignment horizontal="left" vertical="center"/>
    </xf>
    <xf numFmtId="0" fontId="13" fillId="3" borderId="1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/>
    </xf>
    <xf numFmtId="4" fontId="4" fillId="2" borderId="6" xfId="0" applyNumberFormat="1" applyFont="1" applyFill="1" applyBorder="1" applyAlignment="1">
      <alignment horizontal="center" vertical="center"/>
    </xf>
    <xf numFmtId="0" fontId="17" fillId="0" borderId="7" xfId="0" applyFont="1" applyBorder="1" applyAlignment="1">
      <alignment horizontal="left" vertical="center" wrapText="1"/>
    </xf>
    <xf numFmtId="0" fontId="17" fillId="0" borderId="9" xfId="0" applyFont="1" applyBorder="1" applyAlignment="1">
      <alignment horizontal="left" vertical="center" wrapText="1"/>
    </xf>
    <xf numFmtId="0" fontId="17" fillId="0" borderId="8" xfId="0" applyFont="1" applyBorder="1" applyAlignment="1">
      <alignment horizontal="left" vertical="center" wrapText="1"/>
    </xf>
    <xf numFmtId="0" fontId="17" fillId="0" borderId="10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7" fillId="0" borderId="11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left" vertical="center" wrapText="1"/>
    </xf>
    <xf numFmtId="0" fontId="17" fillId="0" borderId="14" xfId="0" applyFont="1" applyBorder="1" applyAlignment="1">
      <alignment horizontal="left" vertical="center" wrapText="1"/>
    </xf>
    <xf numFmtId="0" fontId="17" fillId="0" borderId="13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/>
    </xf>
    <xf numFmtId="0" fontId="7" fillId="3" borderId="7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/>
    </xf>
    <xf numFmtId="0" fontId="16" fillId="3" borderId="6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4" fontId="12" fillId="3" borderId="2" xfId="0" applyNumberFormat="1" applyFont="1" applyFill="1" applyBorder="1" applyAlignment="1">
      <alignment horizontal="center" vertical="center"/>
    </xf>
    <xf numFmtId="4" fontId="12" fillId="3" borderId="3" xfId="0" applyNumberFormat="1" applyFont="1" applyFill="1" applyBorder="1" applyAlignment="1">
      <alignment horizontal="center" vertical="center"/>
    </xf>
    <xf numFmtId="4" fontId="12" fillId="3" borderId="4" xfId="0" applyNumberFormat="1" applyFont="1" applyFill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169" fontId="15" fillId="0" borderId="5" xfId="2" applyNumberFormat="1" applyFont="1" applyFill="1" applyBorder="1" applyAlignment="1" applyProtection="1">
      <alignment horizontal="center" vertical="center"/>
    </xf>
    <xf numFmtId="169" fontId="15" fillId="0" borderId="6" xfId="2" applyNumberFormat="1" applyFont="1" applyFill="1" applyBorder="1" applyAlignment="1" applyProtection="1">
      <alignment horizontal="center" vertical="center"/>
    </xf>
    <xf numFmtId="4" fontId="11" fillId="0" borderId="5" xfId="0" applyNumberFormat="1" applyFont="1" applyBorder="1" applyAlignment="1">
      <alignment horizontal="center" vertical="center"/>
    </xf>
    <xf numFmtId="4" fontId="11" fillId="0" borderId="6" xfId="0" applyNumberFormat="1" applyFont="1" applyBorder="1" applyAlignment="1">
      <alignment horizontal="center" vertical="center"/>
    </xf>
    <xf numFmtId="0" fontId="11" fillId="0" borderId="12" xfId="0" quotePrefix="1" applyFont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center" vertical="center"/>
    </xf>
    <xf numFmtId="3" fontId="9" fillId="0" borderId="6" xfId="0" applyNumberFormat="1" applyFont="1" applyBorder="1" applyAlignment="1">
      <alignment horizontal="center" vertical="center"/>
    </xf>
    <xf numFmtId="168" fontId="9" fillId="0" borderId="5" xfId="0" applyNumberFormat="1" applyFont="1" applyBorder="1" applyAlignment="1">
      <alignment horizontal="center" vertical="center"/>
    </xf>
    <xf numFmtId="168" fontId="9" fillId="0" borderId="6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167" fontId="11" fillId="0" borderId="5" xfId="0" applyNumberFormat="1" applyFont="1" applyBorder="1" applyAlignment="1">
      <alignment horizontal="center" vertical="center"/>
    </xf>
    <xf numFmtId="167" fontId="11" fillId="0" borderId="6" xfId="0" applyNumberFormat="1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49" fontId="11" fillId="0" borderId="7" xfId="0" applyNumberFormat="1" applyFont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49" fontId="11" fillId="0" borderId="8" xfId="0" applyNumberFormat="1" applyFont="1" applyBorder="1" applyAlignment="1">
      <alignment horizontal="center" vertical="center"/>
    </xf>
    <xf numFmtId="49" fontId="11" fillId="0" borderId="10" xfId="0" applyNumberFormat="1" applyFont="1" applyBorder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49" fontId="11" fillId="0" borderId="11" xfId="0" applyNumberFormat="1" applyFont="1" applyBorder="1" applyAlignment="1">
      <alignment horizontal="center" vertical="center"/>
    </xf>
    <xf numFmtId="49" fontId="11" fillId="0" borderId="12" xfId="0" applyNumberFormat="1" applyFont="1" applyBorder="1" applyAlignment="1">
      <alignment horizontal="center" vertical="center"/>
    </xf>
    <xf numFmtId="49" fontId="11" fillId="0" borderId="14" xfId="0" applyNumberFormat="1" applyFont="1" applyBorder="1" applyAlignment="1">
      <alignment horizontal="center" vertical="center"/>
    </xf>
    <xf numFmtId="49" fontId="11" fillId="0" borderId="13" xfId="0" applyNumberFormat="1" applyFont="1" applyBorder="1" applyAlignment="1">
      <alignment horizontal="center" vertical="center"/>
    </xf>
    <xf numFmtId="167" fontId="15" fillId="0" borderId="5" xfId="2" applyNumberFormat="1" applyFont="1" applyFill="1" applyBorder="1" applyAlignment="1" applyProtection="1">
      <alignment horizontal="center" vertical="center"/>
    </xf>
    <xf numFmtId="167" fontId="15" fillId="0" borderId="6" xfId="2" applyNumberFormat="1" applyFont="1" applyFill="1" applyBorder="1" applyAlignment="1" applyProtection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17" fillId="0" borderId="1" xfId="0" applyFont="1" applyBorder="1" applyAlignment="1">
      <alignment horizontal="left" vertical="center"/>
    </xf>
    <xf numFmtId="0" fontId="14" fillId="6" borderId="7" xfId="0" applyFont="1" applyFill="1" applyBorder="1" applyAlignment="1">
      <alignment horizontal="center" vertical="center"/>
    </xf>
    <xf numFmtId="0" fontId="14" fillId="6" borderId="9" xfId="0" applyFont="1" applyFill="1" applyBorder="1" applyAlignment="1">
      <alignment horizontal="center" vertical="center"/>
    </xf>
    <xf numFmtId="0" fontId="14" fillId="6" borderId="8" xfId="0" applyFont="1" applyFill="1" applyBorder="1" applyAlignment="1">
      <alignment horizontal="center" vertical="center"/>
    </xf>
    <xf numFmtId="4" fontId="9" fillId="0" borderId="5" xfId="0" applyNumberFormat="1" applyFont="1" applyBorder="1" applyAlignment="1" applyProtection="1">
      <alignment horizontal="center" vertical="center"/>
      <protection locked="0"/>
    </xf>
    <xf numFmtId="4" fontId="9" fillId="0" borderId="6" xfId="0" applyNumberFormat="1" applyFont="1" applyBorder="1" applyAlignment="1" applyProtection="1">
      <alignment horizontal="center" vertical="center"/>
      <protection locked="0"/>
    </xf>
    <xf numFmtId="4" fontId="9" fillId="0" borderId="5" xfId="0" applyNumberFormat="1" applyFont="1" applyBorder="1" applyAlignment="1">
      <alignment horizontal="center" vertical="center"/>
    </xf>
    <xf numFmtId="4" fontId="9" fillId="0" borderId="6" xfId="0" applyNumberFormat="1" applyFont="1" applyBorder="1" applyAlignment="1">
      <alignment horizontal="center" vertical="center"/>
    </xf>
    <xf numFmtId="0" fontId="11" fillId="6" borderId="12" xfId="0" applyFont="1" applyFill="1" applyBorder="1" applyAlignment="1">
      <alignment horizontal="center" vertical="center"/>
    </xf>
    <xf numFmtId="0" fontId="11" fillId="6" borderId="14" xfId="0" applyFont="1" applyFill="1" applyBorder="1" applyAlignment="1">
      <alignment horizontal="center" vertical="center"/>
    </xf>
    <xf numFmtId="0" fontId="11" fillId="6" borderId="13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 applyProtection="1">
      <alignment horizontal="center" vertical="center"/>
      <protection locked="0"/>
    </xf>
    <xf numFmtId="1" fontId="12" fillId="2" borderId="1" xfId="0" applyNumberFormat="1" applyFont="1" applyFill="1" applyBorder="1" applyAlignment="1" applyProtection="1">
      <alignment horizontal="center" vertical="center"/>
      <protection locked="0"/>
    </xf>
    <xf numFmtId="167" fontId="15" fillId="0" borderId="1" xfId="2" applyNumberFormat="1" applyFont="1" applyFill="1" applyBorder="1" applyAlignment="1" applyProtection="1">
      <alignment horizontal="center" vertical="center"/>
    </xf>
    <xf numFmtId="167" fontId="11" fillId="0" borderId="1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14" fontId="12" fillId="0" borderId="1" xfId="0" applyNumberFormat="1" applyFont="1" applyBorder="1" applyAlignment="1" applyProtection="1">
      <alignment horizontal="center" vertical="center"/>
      <protection locked="0"/>
    </xf>
    <xf numFmtId="10" fontId="12" fillId="0" borderId="1" xfId="0" applyNumberFormat="1" applyFont="1" applyBorder="1" applyAlignment="1">
      <alignment horizontal="center" vertic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12" fillId="0" borderId="4" xfId="0" applyFont="1" applyBorder="1" applyAlignment="1" applyProtection="1">
      <alignment horizontal="center" vertical="center"/>
      <protection locked="0"/>
    </xf>
    <xf numFmtId="0" fontId="19" fillId="2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0" fontId="12" fillId="6" borderId="1" xfId="0" applyFont="1" applyFill="1" applyBorder="1" applyAlignment="1" applyProtection="1">
      <alignment horizontal="center" vertical="center"/>
      <protection locked="0"/>
    </xf>
    <xf numFmtId="0" fontId="10" fillId="3" borderId="1" xfId="0" applyFont="1" applyFill="1" applyBorder="1" applyAlignment="1">
      <alignment horizontal="center" vertical="center" wrapText="1"/>
    </xf>
    <xf numFmtId="44" fontId="10" fillId="3" borderId="1" xfId="3" applyFont="1" applyFill="1" applyBorder="1" applyAlignment="1" applyProtection="1">
      <alignment horizontal="center" vertical="center" wrapText="1"/>
    </xf>
    <xf numFmtId="0" fontId="13" fillId="3" borderId="9" xfId="0" applyFont="1" applyFill="1" applyBorder="1" applyAlignment="1">
      <alignment horizontal="center" vertical="center"/>
    </xf>
    <xf numFmtId="0" fontId="15" fillId="6" borderId="1" xfId="0" applyFont="1" applyFill="1" applyBorder="1" applyAlignment="1">
      <alignment horizontal="left" vertical="center" wrapText="1"/>
    </xf>
    <xf numFmtId="0" fontId="15" fillId="6" borderId="1" xfId="0" applyFont="1" applyFill="1" applyBorder="1" applyAlignment="1">
      <alignment horizontal="left" vertical="center"/>
    </xf>
    <xf numFmtId="0" fontId="29" fillId="2" borderId="0" xfId="0" applyFont="1" applyFill="1" applyAlignment="1">
      <alignment horizontal="center" vertical="center"/>
    </xf>
    <xf numFmtId="0" fontId="29" fillId="7" borderId="31" xfId="0" applyFont="1" applyFill="1" applyBorder="1" applyAlignment="1">
      <alignment horizontal="center" vertical="center" wrapText="1"/>
    </xf>
    <xf numFmtId="0" fontId="29" fillId="7" borderId="32" xfId="0" applyFont="1" applyFill="1" applyBorder="1" applyAlignment="1">
      <alignment horizontal="center" vertical="center" wrapText="1"/>
    </xf>
    <xf numFmtId="0" fontId="29" fillId="7" borderId="33" xfId="0" applyFont="1" applyFill="1" applyBorder="1" applyAlignment="1">
      <alignment horizontal="center" vertical="center" wrapText="1"/>
    </xf>
    <xf numFmtId="0" fontId="30" fillId="2" borderId="31" xfId="0" applyFont="1" applyFill="1" applyBorder="1" applyAlignment="1">
      <alignment horizontal="center" vertical="center"/>
    </xf>
    <xf numFmtId="0" fontId="30" fillId="2" borderId="32" xfId="0" applyFont="1" applyFill="1" applyBorder="1" applyAlignment="1">
      <alignment horizontal="center" vertical="center"/>
    </xf>
    <xf numFmtId="0" fontId="30" fillId="2" borderId="33" xfId="0" applyFont="1" applyFill="1" applyBorder="1" applyAlignment="1">
      <alignment horizontal="center" vertical="center"/>
    </xf>
    <xf numFmtId="0" fontId="23" fillId="2" borderId="0" xfId="5" applyFont="1" applyFill="1" applyBorder="1" applyAlignment="1">
      <alignment horizontal="center" vertical="center"/>
    </xf>
    <xf numFmtId="0" fontId="26" fillId="2" borderId="5" xfId="0" applyFont="1" applyFill="1" applyBorder="1" applyAlignment="1">
      <alignment horizontal="center" vertical="center"/>
    </xf>
    <xf numFmtId="0" fontId="26" fillId="2" borderId="15" xfId="0" applyFont="1" applyFill="1" applyBorder="1" applyAlignment="1">
      <alignment horizontal="center" vertical="center"/>
    </xf>
    <xf numFmtId="0" fontId="26" fillId="2" borderId="6" xfId="0" applyFont="1" applyFill="1" applyBorder="1" applyAlignment="1">
      <alignment horizontal="center" vertical="center"/>
    </xf>
    <xf numFmtId="0" fontId="32" fillId="7" borderId="12" xfId="0" applyFont="1" applyFill="1" applyBorder="1" applyAlignment="1">
      <alignment horizontal="center" vertical="center" wrapText="1"/>
    </xf>
    <xf numFmtId="0" fontId="32" fillId="7" borderId="13" xfId="0" applyFont="1" applyFill="1" applyBorder="1" applyAlignment="1">
      <alignment horizontal="center" vertical="center" wrapText="1"/>
    </xf>
    <xf numFmtId="0" fontId="26" fillId="2" borderId="2" xfId="0" applyFont="1" applyFill="1" applyBorder="1" applyAlignment="1">
      <alignment horizontal="left" vertical="center" wrapText="1"/>
    </xf>
    <xf numFmtId="0" fontId="26" fillId="2" borderId="4" xfId="0" applyFont="1" applyFill="1" applyBorder="1" applyAlignment="1">
      <alignment horizontal="left" vertical="center" wrapText="1"/>
    </xf>
    <xf numFmtId="0" fontId="30" fillId="2" borderId="2" xfId="0" applyFont="1" applyFill="1" applyBorder="1" applyAlignment="1">
      <alignment horizontal="center" vertical="center"/>
    </xf>
    <xf numFmtId="0" fontId="30" fillId="2" borderId="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left" vertical="center"/>
    </xf>
    <xf numFmtId="14" fontId="16" fillId="2" borderId="1" xfId="0" applyNumberFormat="1" applyFont="1" applyFill="1" applyBorder="1" applyAlignment="1" applyProtection="1">
      <alignment horizontal="center" vertical="center"/>
      <protection locked="0"/>
    </xf>
    <xf numFmtId="0" fontId="9" fillId="2" borderId="2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33" fillId="2" borderId="0" xfId="0" applyFont="1" applyFill="1" applyAlignment="1">
      <alignment horizontal="center" vertical="center"/>
    </xf>
    <xf numFmtId="0" fontId="30" fillId="2" borderId="0" xfId="0" applyFont="1" applyFill="1" applyAlignment="1">
      <alignment vertical="center"/>
    </xf>
    <xf numFmtId="0" fontId="30" fillId="2" borderId="0" xfId="0" applyFont="1" applyFill="1" applyAlignment="1">
      <alignment horizontal="left" vertical="center"/>
    </xf>
    <xf numFmtId="0" fontId="16" fillId="2" borderId="2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/>
    </xf>
    <xf numFmtId="44" fontId="9" fillId="2" borderId="2" xfId="3" applyFont="1" applyFill="1" applyBorder="1" applyAlignment="1">
      <alignment horizontal="right" vertical="center"/>
    </xf>
    <xf numFmtId="44" fontId="9" fillId="2" borderId="4" xfId="3" applyFont="1" applyFill="1" applyBorder="1" applyAlignment="1">
      <alignment horizontal="right" vertical="center"/>
    </xf>
    <xf numFmtId="14" fontId="9" fillId="2" borderId="2" xfId="0" applyNumberFormat="1" applyFont="1" applyFill="1" applyBorder="1" applyAlignment="1">
      <alignment horizontal="center" vertical="center"/>
    </xf>
    <xf numFmtId="14" fontId="9" fillId="2" borderId="4" xfId="0" applyNumberFormat="1" applyFont="1" applyFill="1" applyBorder="1" applyAlignment="1">
      <alignment horizontal="center" vertical="center"/>
    </xf>
    <xf numFmtId="0" fontId="27" fillId="2" borderId="9" xfId="0" applyFont="1" applyFill="1" applyBorder="1" applyAlignment="1">
      <alignment horizontal="left" vertical="center" wrapText="1"/>
    </xf>
    <xf numFmtId="0" fontId="27" fillId="2" borderId="0" xfId="0" applyFont="1" applyFill="1" applyAlignment="1">
      <alignment horizontal="left" vertical="center" wrapText="1"/>
    </xf>
    <xf numFmtId="0" fontId="27" fillId="2" borderId="9" xfId="0" applyFont="1" applyFill="1" applyBorder="1" applyAlignment="1">
      <alignment horizontal="left" vertical="center"/>
    </xf>
    <xf numFmtId="0" fontId="35" fillId="2" borderId="0" xfId="0" applyFont="1" applyFill="1" applyAlignment="1">
      <alignment horizontal="left" vertical="center" wrapText="1"/>
    </xf>
    <xf numFmtId="0" fontId="36" fillId="2" borderId="0" xfId="0" applyFont="1" applyFill="1" applyAlignment="1">
      <alignment horizontal="left" vertical="center"/>
    </xf>
    <xf numFmtId="0" fontId="36" fillId="2" borderId="0" xfId="0" applyFont="1" applyFill="1" applyAlignment="1">
      <alignment horizontal="left" vertical="center" wrapText="1"/>
    </xf>
    <xf numFmtId="0" fontId="16" fillId="2" borderId="2" xfId="0" applyFont="1" applyFill="1" applyBorder="1" applyAlignment="1">
      <alignment horizontal="left" vertical="center"/>
    </xf>
    <xf numFmtId="0" fontId="16" fillId="2" borderId="3" xfId="0" applyFont="1" applyFill="1" applyBorder="1" applyAlignment="1">
      <alignment horizontal="left" vertical="center"/>
    </xf>
    <xf numFmtId="0" fontId="16" fillId="2" borderId="4" xfId="0" applyFont="1" applyFill="1" applyBorder="1" applyAlignment="1">
      <alignment horizontal="left" vertical="center"/>
    </xf>
    <xf numFmtId="0" fontId="27" fillId="2" borderId="0" xfId="0" applyFont="1" applyFill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2" borderId="15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37" fillId="2" borderId="1" xfId="0" applyFont="1" applyFill="1" applyBorder="1" applyAlignment="1">
      <alignment horizontal="left" vertical="center" wrapText="1"/>
    </xf>
    <xf numFmtId="0" fontId="27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left" vertical="center"/>
    </xf>
    <xf numFmtId="4" fontId="9" fillId="2" borderId="3" xfId="0" applyNumberFormat="1" applyFont="1" applyFill="1" applyBorder="1" applyAlignment="1">
      <alignment horizontal="left" vertical="center"/>
    </xf>
    <xf numFmtId="4" fontId="9" fillId="2" borderId="4" xfId="0" applyNumberFormat="1" applyFont="1" applyFill="1" applyBorder="1" applyAlignment="1">
      <alignment horizontal="left" vertical="center"/>
    </xf>
    <xf numFmtId="44" fontId="9" fillId="2" borderId="2" xfId="3" applyFont="1" applyFill="1" applyBorder="1" applyAlignment="1" applyProtection="1">
      <alignment horizontal="center" vertical="center"/>
    </xf>
    <xf numFmtId="44" fontId="9" fillId="2" borderId="4" xfId="3" applyFont="1" applyFill="1" applyBorder="1" applyAlignment="1" applyProtection="1">
      <alignment horizontal="center" vertical="center"/>
    </xf>
    <xf numFmtId="0" fontId="38" fillId="2" borderId="2" xfId="0" applyFont="1" applyFill="1" applyBorder="1" applyAlignment="1">
      <alignment horizontal="center" vertical="center" wrapText="1"/>
    </xf>
    <xf numFmtId="0" fontId="38" fillId="2" borderId="3" xfId="0" applyFont="1" applyFill="1" applyBorder="1" applyAlignment="1">
      <alignment horizontal="center" vertical="center" wrapText="1"/>
    </xf>
    <xf numFmtId="0" fontId="28" fillId="8" borderId="21" xfId="0" applyFont="1" applyFill="1" applyBorder="1" applyAlignment="1">
      <alignment horizontal="left" vertical="center" wrapText="1"/>
    </xf>
    <xf numFmtId="0" fontId="28" fillId="8" borderId="22" xfId="0" applyFont="1" applyFill="1" applyBorder="1" applyAlignment="1">
      <alignment horizontal="left" vertical="center" wrapText="1"/>
    </xf>
    <xf numFmtId="44" fontId="4" fillId="2" borderId="31" xfId="0" applyNumberFormat="1" applyFont="1" applyFill="1" applyBorder="1" applyAlignment="1">
      <alignment horizontal="center" vertical="center"/>
    </xf>
    <xf numFmtId="44" fontId="4" fillId="2" borderId="32" xfId="0" applyNumberFormat="1" applyFont="1" applyFill="1" applyBorder="1" applyAlignment="1">
      <alignment horizontal="center" vertical="center"/>
    </xf>
    <xf numFmtId="44" fontId="4" fillId="2" borderId="33" xfId="0" applyNumberFormat="1" applyFont="1" applyFill="1" applyBorder="1" applyAlignment="1">
      <alignment horizontal="center" vertical="center"/>
    </xf>
    <xf numFmtId="1" fontId="4" fillId="2" borderId="31" xfId="0" applyNumberFormat="1" applyFont="1" applyFill="1" applyBorder="1" applyAlignment="1">
      <alignment horizontal="center" vertical="center"/>
    </xf>
    <xf numFmtId="1" fontId="4" fillId="2" borderId="32" xfId="0" applyNumberFormat="1" applyFont="1" applyFill="1" applyBorder="1" applyAlignment="1">
      <alignment horizontal="center" vertical="center"/>
    </xf>
    <xf numFmtId="1" fontId="4" fillId="2" borderId="33" xfId="0" applyNumberFormat="1" applyFont="1" applyFill="1" applyBorder="1" applyAlignment="1">
      <alignment horizontal="center" vertical="center"/>
    </xf>
    <xf numFmtId="0" fontId="28" fillId="8" borderId="17" xfId="0" applyFont="1" applyFill="1" applyBorder="1" applyAlignment="1">
      <alignment horizontal="center" vertical="center" wrapText="1"/>
    </xf>
    <xf numFmtId="0" fontId="28" fillId="8" borderId="23" xfId="0" applyFont="1" applyFill="1" applyBorder="1" applyAlignment="1">
      <alignment horizontal="left" vertical="center" wrapText="1"/>
    </xf>
    <xf numFmtId="0" fontId="28" fillId="8" borderId="0" xfId="0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/>
    </xf>
    <xf numFmtId="0" fontId="16" fillId="2" borderId="14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/>
    </xf>
    <xf numFmtId="4" fontId="46" fillId="0" borderId="0" xfId="0" applyNumberFormat="1" applyFont="1"/>
    <xf numFmtId="44" fontId="23" fillId="2" borderId="0" xfId="0" applyNumberFormat="1" applyFont="1" applyFill="1" applyAlignment="1">
      <alignment vertical="center"/>
    </xf>
  </cellXfs>
  <cellStyles count="15">
    <cellStyle name="Moeda" xfId="3" builtinId="4"/>
    <cellStyle name="Moeda 2" xfId="10"/>
    <cellStyle name="Moeda 3" xfId="9"/>
    <cellStyle name="Normal" xfId="0" builtinId="0"/>
    <cellStyle name="Normal 2" xfId="7"/>
    <cellStyle name="Normal 2 2" xfId="8"/>
    <cellStyle name="Normal 3" xfId="5"/>
    <cellStyle name="Porcentagem" xfId="1" builtinId="5"/>
    <cellStyle name="Porcentagem 2" xfId="6"/>
    <cellStyle name="Porcentagem 2 2" xfId="11"/>
    <cellStyle name="Separador de milhares" xfId="14" builtinId="3"/>
    <cellStyle name="Vírgula 2" xfId="2"/>
    <cellStyle name="Vírgula 2 2" xfId="4"/>
    <cellStyle name="Vírgula 2 2 2" xfId="12"/>
    <cellStyle name="Vírgula 3" xfId="13"/>
  </cellStyles>
  <dxfs count="0"/>
  <tableStyles count="0" defaultTableStyle="TableStyleMedium2" defaultPivotStyle="PivotStyleLight16"/>
  <colors>
    <mruColors>
      <color rgb="FF0D1E9B"/>
      <color rgb="FFFFE393"/>
      <color rgb="FFFFD96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heetMetadata" Target="metadata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1323975</xdr:colOff>
      <xdr:row>0</xdr:row>
      <xdr:rowOff>152400</xdr:rowOff>
    </xdr:from>
    <xdr:to>
      <xdr:col>7</xdr:col>
      <xdr:colOff>561975</xdr:colOff>
      <xdr:row>3</xdr:row>
      <xdr:rowOff>333375</xdr:rowOff>
    </xdr:to>
    <xdr:grpSp>
      <xdr:nvGrpSpPr>
        <xdr:cNvPr id="3" name="Grupo 2"/>
        <xdr:cNvGrpSpPr/>
      </xdr:nvGrpSpPr>
      <xdr:grpSpPr>
        <a:xfrm>
          <a:off x="1743075" y="152400"/>
          <a:ext cx="7258050" cy="1266825"/>
          <a:chOff x="1438275" y="-152400"/>
          <a:chExt cx="7258050" cy="1266825"/>
        </a:xfrm>
      </xdr:grpSpPr>
      <xdr:sp macro="" textlink="">
        <xdr:nvSpPr>
          <xdr:cNvPr id="4" name="Text Box 1"/>
          <xdr:cNvSpPr txBox="1">
            <a:spLocks noChangeArrowheads="1"/>
          </xdr:cNvSpPr>
        </xdr:nvSpPr>
        <xdr:spPr bwMode="auto">
          <a:xfrm>
            <a:off x="1438275" y="-152400"/>
            <a:ext cx="7258050" cy="1266825"/>
          </a:xfrm>
          <a:prstGeom prst="rect">
            <a:avLst/>
          </a:prstGeom>
          <a:solidFill>
            <a:srgbClr val="FFFFFF"/>
          </a:solidFill>
          <a:ln w="9525">
            <a:solidFill>
              <a:srgbClr val="FFFFFF"/>
            </a:solidFill>
            <a:miter lim="800000"/>
            <a:headEnd/>
            <a:tailEnd/>
          </a:ln>
        </xdr:spPr>
        <xdr:txBody>
          <a:bodyPr wrap="square" lIns="91440" tIns="45720" rIns="91440" bIns="45720" anchor="t" upright="1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pPr algn="l" rtl="1">
              <a:defRPr sz="1000"/>
            </a:pPr>
            <a:endParaRPr lang="pt-BR" sz="1000" b="0" i="0" strike="noStrike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rlin\reitoria$\Users\2672935\Documents\Dropbox\Administra&#231;&#227;o\!IFRN\_F&#201;RIAS\PE%20Limpeza,%20Asseio%20e%20Conservacao\!Pesquisa%20-%20Limpeza%20-v5%20-%20C&#243;pi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IAD\DIAD-IP\TERMO%20DE%20REFER&#202;NCIA\TR%202017\Contrata&#231;&#227;o%20conjunta\Adendo%20I%20ao%20III%20e%20Tabela%20Auxiliar\TABELA%20AUXILIAR%20-%20LOCA&#199;&#195;O%20DE%20M&#195;O%20DE%20OBRA%20-%20GERAL%20-%20MATERIAIS%20-%20FINAL%20(1)%20-%20Lucian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5 Insumos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impeza"/>
      <sheetName val="Auxiliar de Saúde Bucal"/>
      <sheetName val="Cozinha"/>
      <sheetName val="Encanador"/>
      <sheetName val="Eletricista"/>
      <sheetName val="Jardinagem"/>
      <sheetName val="Pedreiro"/>
      <sheetName val="Pintor"/>
      <sheetName val="Piscineiro"/>
      <sheetName val="Trabalhador Rural "/>
      <sheetName val="Tratorista"/>
    </sheetNames>
    <sheetDataSet>
      <sheetData sheetId="0"/>
      <sheetData sheetId="1">
        <row r="12">
          <cell r="BF12">
            <v>59.786666666666669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22"/>
  <sheetViews>
    <sheetView showGridLines="0" workbookViewId="0">
      <selection activeCell="B17" sqref="B17"/>
    </sheetView>
  </sheetViews>
  <sheetFormatPr defaultColWidth="8.85546875" defaultRowHeight="15"/>
  <sheetData>
    <row r="1" spans="2:8">
      <c r="B1" t="s">
        <v>0</v>
      </c>
      <c r="C1" t="s">
        <v>1</v>
      </c>
      <c r="E1" s="1" t="s">
        <v>2</v>
      </c>
      <c r="F1" t="s">
        <v>3</v>
      </c>
      <c r="H1" t="s">
        <v>4</v>
      </c>
    </row>
    <row r="2" spans="2:8">
      <c r="B2" t="s">
        <v>5</v>
      </c>
      <c r="C2">
        <v>0.5</v>
      </c>
      <c r="E2" s="1" t="s">
        <v>6</v>
      </c>
      <c r="F2" t="s">
        <v>7</v>
      </c>
      <c r="H2" t="s">
        <v>8</v>
      </c>
    </row>
    <row r="3" spans="2:8">
      <c r="B3" t="s">
        <v>9</v>
      </c>
      <c r="C3">
        <v>1</v>
      </c>
      <c r="E3" s="1" t="s">
        <v>10</v>
      </c>
      <c r="F3" t="s">
        <v>11</v>
      </c>
    </row>
    <row r="4" spans="2:8">
      <c r="B4" t="s">
        <v>12</v>
      </c>
      <c r="C4">
        <v>2</v>
      </c>
      <c r="E4" s="1" t="s">
        <v>13</v>
      </c>
      <c r="F4" t="s">
        <v>14</v>
      </c>
    </row>
    <row r="5" spans="2:8">
      <c r="B5" t="s">
        <v>15</v>
      </c>
      <c r="C5">
        <v>4</v>
      </c>
      <c r="E5" s="1" t="s">
        <v>16</v>
      </c>
      <c r="F5" t="s">
        <v>17</v>
      </c>
    </row>
    <row r="6" spans="2:8">
      <c r="B6" t="s">
        <v>18</v>
      </c>
      <c r="C6">
        <v>12</v>
      </c>
      <c r="E6" s="1" t="s">
        <v>19</v>
      </c>
      <c r="F6" t="s">
        <v>20</v>
      </c>
    </row>
    <row r="7" spans="2:8">
      <c r="E7" s="1" t="s">
        <v>21</v>
      </c>
      <c r="F7" t="s">
        <v>22</v>
      </c>
    </row>
    <row r="8" spans="2:8">
      <c r="E8" s="1" t="s">
        <v>23</v>
      </c>
      <c r="F8" t="s">
        <v>24</v>
      </c>
    </row>
    <row r="9" spans="2:8">
      <c r="E9" s="1" t="s">
        <v>25</v>
      </c>
      <c r="F9" t="s">
        <v>26</v>
      </c>
    </row>
    <row r="10" spans="2:8">
      <c r="E10" s="1" t="s">
        <v>27</v>
      </c>
      <c r="F10" t="s">
        <v>28</v>
      </c>
    </row>
    <row r="11" spans="2:8">
      <c r="E11" s="1" t="s">
        <v>29</v>
      </c>
      <c r="F11" t="s">
        <v>30</v>
      </c>
    </row>
    <row r="12" spans="2:8">
      <c r="E12" s="1" t="s">
        <v>31</v>
      </c>
      <c r="F12" t="s">
        <v>32</v>
      </c>
    </row>
    <row r="13" spans="2:8">
      <c r="E13" s="1" t="s">
        <v>33</v>
      </c>
      <c r="F13" t="s">
        <v>34</v>
      </c>
    </row>
    <row r="14" spans="2:8">
      <c r="E14" s="1" t="s">
        <v>35</v>
      </c>
      <c r="F14" t="s">
        <v>36</v>
      </c>
    </row>
    <row r="15" spans="2:8">
      <c r="E15" s="1" t="s">
        <v>37</v>
      </c>
      <c r="F15" t="s">
        <v>38</v>
      </c>
    </row>
    <row r="16" spans="2:8">
      <c r="E16" s="1" t="s">
        <v>39</v>
      </c>
      <c r="F16" t="s">
        <v>40</v>
      </c>
    </row>
    <row r="17" spans="5:6">
      <c r="E17" s="1" t="s">
        <v>41</v>
      </c>
      <c r="F17" t="s">
        <v>42</v>
      </c>
    </row>
    <row r="18" spans="5:6">
      <c r="E18" s="1" t="s">
        <v>43</v>
      </c>
      <c r="F18" t="s">
        <v>44</v>
      </c>
    </row>
    <row r="19" spans="5:6">
      <c r="E19" s="1" t="s">
        <v>45</v>
      </c>
      <c r="F19" t="s">
        <v>46</v>
      </c>
    </row>
    <row r="20" spans="5:6">
      <c r="E20" s="1" t="s">
        <v>47</v>
      </c>
      <c r="F20" t="s">
        <v>48</v>
      </c>
    </row>
    <row r="21" spans="5:6">
      <c r="E21" s="1" t="s">
        <v>49</v>
      </c>
      <c r="F21" t="s">
        <v>50</v>
      </c>
    </row>
    <row r="22" spans="5:6">
      <c r="E22" s="1" t="s">
        <v>51</v>
      </c>
      <c r="F22" t="s">
        <v>52</v>
      </c>
    </row>
  </sheetData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>
  <dimension ref="A5:J41"/>
  <sheetViews>
    <sheetView tabSelected="1" showWhiteSpace="0" topLeftCell="A13" zoomScaleNormal="100" zoomScaleSheetLayoutView="100" workbookViewId="0">
      <selection activeCell="I22" sqref="I22"/>
    </sheetView>
  </sheetViews>
  <sheetFormatPr defaultColWidth="9.140625" defaultRowHeight="28.5" customHeight="1"/>
  <cols>
    <col min="1" max="1" width="6.28515625" style="140" customWidth="1"/>
    <col min="2" max="2" width="41.42578125" style="140" customWidth="1"/>
    <col min="3" max="3" width="11.85546875" style="141" customWidth="1"/>
    <col min="4" max="4" width="19.42578125" style="140" customWidth="1"/>
    <col min="5" max="5" width="14.7109375" style="141" customWidth="1"/>
    <col min="6" max="6" width="14.85546875" style="141" customWidth="1"/>
    <col min="7" max="7" width="18" style="141" customWidth="1"/>
    <col min="8" max="8" width="18.85546875" style="140" customWidth="1"/>
    <col min="9" max="9" width="16.42578125" style="140" bestFit="1" customWidth="1"/>
    <col min="10" max="10" width="16.140625" style="140" customWidth="1"/>
    <col min="11" max="11" width="10.140625" style="140" bestFit="1" customWidth="1"/>
    <col min="12" max="16384" width="9.140625" style="140"/>
  </cols>
  <sheetData>
    <row r="5" spans="1:10" ht="15.75" customHeight="1"/>
    <row r="6" spans="1:10" ht="28.5" hidden="1" customHeight="1"/>
    <row r="7" spans="1:10" ht="28.5" hidden="1" customHeight="1"/>
    <row r="8" spans="1:10" ht="28.5" hidden="1" customHeight="1"/>
    <row r="9" spans="1:10" ht="28.5" hidden="1" customHeight="1"/>
    <row r="10" spans="1:10" ht="68.25" customHeight="1">
      <c r="A10" s="475" t="s">
        <v>537</v>
      </c>
      <c r="B10" s="475"/>
      <c r="C10" s="475"/>
      <c r="D10" s="475"/>
      <c r="E10" s="475"/>
      <c r="F10" s="475"/>
      <c r="G10" s="475"/>
      <c r="H10" s="475"/>
    </row>
    <row r="11" spans="1:10" ht="10.5" customHeight="1" thickBot="1">
      <c r="A11" s="143"/>
      <c r="B11" s="143"/>
      <c r="C11" s="143"/>
      <c r="D11" s="143"/>
      <c r="E11" s="143"/>
      <c r="F11" s="143"/>
      <c r="G11" s="143"/>
      <c r="H11" s="143"/>
    </row>
    <row r="12" spans="1:10" ht="27.75" customHeight="1" thickBot="1">
      <c r="A12" s="476" t="s">
        <v>375</v>
      </c>
      <c r="B12" s="477"/>
      <c r="C12" s="477"/>
      <c r="D12" s="477"/>
      <c r="E12" s="477"/>
      <c r="F12" s="477"/>
      <c r="G12" s="477"/>
      <c r="H12" s="478"/>
    </row>
    <row r="13" spans="1:10" s="149" customFormat="1" ht="41.25" customHeight="1">
      <c r="A13" s="144" t="s">
        <v>296</v>
      </c>
      <c r="B13" s="145" t="s">
        <v>298</v>
      </c>
      <c r="C13" s="146" t="s">
        <v>76</v>
      </c>
      <c r="D13" s="146" t="s">
        <v>450</v>
      </c>
      <c r="E13" s="147" t="s">
        <v>453</v>
      </c>
      <c r="F13" s="147" t="s">
        <v>465</v>
      </c>
      <c r="G13" s="147" t="s">
        <v>466</v>
      </c>
      <c r="H13" s="148" t="s">
        <v>467</v>
      </c>
    </row>
    <row r="14" spans="1:10" ht="25.5" customHeight="1">
      <c r="A14" s="483">
        <v>1</v>
      </c>
      <c r="B14" s="150" t="s">
        <v>383</v>
      </c>
      <c r="C14" s="151">
        <v>800</v>
      </c>
      <c r="D14" s="152">
        <v>12297.8</v>
      </c>
      <c r="E14" s="153">
        <f>D14/C14</f>
        <v>15.37</v>
      </c>
      <c r="F14" s="154">
        <v>7.22</v>
      </c>
      <c r="G14" s="154">
        <f>F14*D14</f>
        <v>88790.12</v>
      </c>
      <c r="H14" s="154">
        <f>G14*12</f>
        <v>1065481.44</v>
      </c>
      <c r="I14" s="155"/>
      <c r="J14" s="155"/>
    </row>
    <row r="15" spans="1:10" ht="25.5" customHeight="1">
      <c r="A15" s="484"/>
      <c r="B15" s="150" t="s">
        <v>447</v>
      </c>
      <c r="C15" s="151">
        <v>200</v>
      </c>
      <c r="D15" s="152">
        <v>1087.18</v>
      </c>
      <c r="E15" s="153">
        <f t="shared" ref="E15:E19" si="0">D15/C15</f>
        <v>5.44</v>
      </c>
      <c r="F15" s="154">
        <v>26.82</v>
      </c>
      <c r="G15" s="154">
        <f t="shared" ref="G15:G20" si="1">F15*D15</f>
        <v>29158.17</v>
      </c>
      <c r="H15" s="154">
        <f t="shared" ref="H15:H20" si="2">G15*12</f>
        <v>349898.04</v>
      </c>
      <c r="I15" s="155"/>
      <c r="J15" s="155"/>
    </row>
    <row r="16" spans="1:10" ht="25.5" customHeight="1">
      <c r="A16" s="484"/>
      <c r="B16" s="150" t="s">
        <v>448</v>
      </c>
      <c r="C16" s="151">
        <v>800</v>
      </c>
      <c r="D16" s="152">
        <v>308.64</v>
      </c>
      <c r="E16" s="153">
        <f t="shared" si="0"/>
        <v>0.39</v>
      </c>
      <c r="F16" s="154">
        <v>6.7</v>
      </c>
      <c r="G16" s="154">
        <f t="shared" si="1"/>
        <v>2067.89</v>
      </c>
      <c r="H16" s="154">
        <f t="shared" si="2"/>
        <v>24814.68</v>
      </c>
      <c r="I16" s="155"/>
      <c r="J16" s="155"/>
    </row>
    <row r="17" spans="1:10" ht="25.5" customHeight="1">
      <c r="A17" s="484"/>
      <c r="B17" s="150" t="s">
        <v>452</v>
      </c>
      <c r="C17" s="151">
        <v>1000</v>
      </c>
      <c r="D17" s="152">
        <v>456</v>
      </c>
      <c r="E17" s="153">
        <f t="shared" si="0"/>
        <v>0.46</v>
      </c>
      <c r="F17" s="154">
        <v>5.37</v>
      </c>
      <c r="G17" s="154">
        <f t="shared" si="1"/>
        <v>2448.7199999999998</v>
      </c>
      <c r="H17" s="154">
        <f t="shared" si="2"/>
        <v>29384.639999999999</v>
      </c>
      <c r="I17" s="155"/>
      <c r="J17" s="155"/>
    </row>
    <row r="18" spans="1:10" ht="25.5" customHeight="1">
      <c r="A18" s="484"/>
      <c r="B18" s="150" t="s">
        <v>451</v>
      </c>
      <c r="C18" s="151">
        <v>800</v>
      </c>
      <c r="D18" s="152">
        <v>63</v>
      </c>
      <c r="E18" s="153">
        <f t="shared" si="0"/>
        <v>0.08</v>
      </c>
      <c r="F18" s="154">
        <v>6.7</v>
      </c>
      <c r="G18" s="154">
        <f t="shared" si="1"/>
        <v>422.1</v>
      </c>
      <c r="H18" s="154">
        <f t="shared" si="2"/>
        <v>5065.2</v>
      </c>
      <c r="I18" s="155"/>
      <c r="J18" s="155"/>
    </row>
    <row r="19" spans="1:10" ht="25.5" customHeight="1">
      <c r="A19" s="484"/>
      <c r="B19" s="150" t="s">
        <v>449</v>
      </c>
      <c r="C19" s="151">
        <v>1800</v>
      </c>
      <c r="D19" s="152">
        <v>8913</v>
      </c>
      <c r="E19" s="153">
        <f t="shared" si="0"/>
        <v>4.95</v>
      </c>
      <c r="F19" s="154">
        <v>2.98</v>
      </c>
      <c r="G19" s="154">
        <f t="shared" si="1"/>
        <v>26560.74</v>
      </c>
      <c r="H19" s="154">
        <f t="shared" si="2"/>
        <v>318728.88</v>
      </c>
      <c r="I19" s="155"/>
      <c r="J19" s="155"/>
    </row>
    <row r="20" spans="1:10" ht="25.5" customHeight="1">
      <c r="A20" s="485"/>
      <c r="B20" s="150" t="s">
        <v>468</v>
      </c>
      <c r="C20" s="151">
        <v>300</v>
      </c>
      <c r="D20" s="152">
        <v>3267.33</v>
      </c>
      <c r="E20" s="153">
        <f>(D20/C20)*(16/188.76)</f>
        <v>0.92</v>
      </c>
      <c r="F20" s="154">
        <v>1.52</v>
      </c>
      <c r="G20" s="154">
        <f t="shared" si="1"/>
        <v>4966.34</v>
      </c>
      <c r="H20" s="154">
        <f t="shared" si="2"/>
        <v>59596.08</v>
      </c>
      <c r="I20" s="155"/>
      <c r="J20" s="155"/>
    </row>
    <row r="21" spans="1:10" ht="18" customHeight="1" thickBot="1">
      <c r="A21" s="282"/>
      <c r="B21" s="283"/>
      <c r="C21" s="284"/>
      <c r="D21" s="285" t="s">
        <v>454</v>
      </c>
      <c r="E21" s="286">
        <f>SUM(E14:E20)</f>
        <v>28</v>
      </c>
      <c r="F21" s="287"/>
      <c r="G21" s="154"/>
      <c r="H21" s="280"/>
      <c r="I21" s="155"/>
      <c r="J21" s="155"/>
    </row>
    <row r="22" spans="1:10" ht="17.25" customHeight="1" thickBot="1">
      <c r="A22" s="479" t="s">
        <v>474</v>
      </c>
      <c r="B22" s="480"/>
      <c r="C22" s="480"/>
      <c r="D22" s="480"/>
      <c r="E22" s="480"/>
      <c r="F22" s="481"/>
      <c r="G22" s="281">
        <f>SUM(G14:G20)</f>
        <v>154414.07999999999</v>
      </c>
      <c r="H22" s="267">
        <f>SUM(H14:H20)</f>
        <v>1852968.96</v>
      </c>
      <c r="I22" s="560"/>
      <c r="J22" s="155"/>
    </row>
    <row r="23" spans="1:10" ht="36.75" customHeight="1">
      <c r="A23" s="144" t="s">
        <v>296</v>
      </c>
      <c r="B23" s="486" t="s">
        <v>298</v>
      </c>
      <c r="C23" s="487"/>
      <c r="D23" s="146" t="s">
        <v>470</v>
      </c>
      <c r="E23" s="146" t="s">
        <v>390</v>
      </c>
      <c r="F23" s="147" t="s">
        <v>393</v>
      </c>
      <c r="G23" s="147" t="s">
        <v>471</v>
      </c>
      <c r="H23" s="147" t="s">
        <v>472</v>
      </c>
      <c r="J23" s="155"/>
    </row>
    <row r="24" spans="1:10" ht="17.25" customHeight="1" thickBot="1">
      <c r="A24" s="157">
        <v>2</v>
      </c>
      <c r="B24" s="488" t="s">
        <v>469</v>
      </c>
      <c r="C24" s="489"/>
      <c r="D24" s="151">
        <v>10</v>
      </c>
      <c r="E24" s="153" t="s">
        <v>473</v>
      </c>
      <c r="F24" s="154">
        <f>CONTÍNUO!L154</f>
        <v>4372.51</v>
      </c>
      <c r="G24" s="154">
        <f>F24*D24</f>
        <v>43725.1</v>
      </c>
      <c r="H24" s="266">
        <f t="shared" ref="H24" si="3">G24*12</f>
        <v>524701.19999999995</v>
      </c>
      <c r="J24" s="155"/>
    </row>
    <row r="25" spans="1:10" ht="17.25" customHeight="1" thickBot="1">
      <c r="A25" s="490" t="s">
        <v>475</v>
      </c>
      <c r="B25" s="491"/>
      <c r="C25" s="491"/>
      <c r="D25" s="491"/>
      <c r="E25" s="491"/>
      <c r="F25" s="491"/>
      <c r="G25" s="156">
        <f>G24</f>
        <v>43725.1</v>
      </c>
      <c r="H25" s="267">
        <f>H24</f>
        <v>524701.19999999995</v>
      </c>
      <c r="J25" s="155"/>
    </row>
    <row r="26" spans="1:10" ht="24.75" customHeight="1" thickBot="1">
      <c r="A26" s="490" t="s">
        <v>476</v>
      </c>
      <c r="B26" s="491"/>
      <c r="C26" s="491"/>
      <c r="D26" s="491"/>
      <c r="E26" s="491"/>
      <c r="F26" s="491"/>
      <c r="G26" s="156">
        <f>G22+G25</f>
        <v>198139.18</v>
      </c>
      <c r="H26" s="267">
        <f>H22+H25</f>
        <v>2377670.16</v>
      </c>
      <c r="J26" s="155"/>
    </row>
    <row r="27" spans="1:10" ht="17.25" customHeight="1">
      <c r="J27" s="155"/>
    </row>
    <row r="28" spans="1:10" ht="17.25" customHeight="1">
      <c r="A28" s="271"/>
      <c r="B28" s="271"/>
      <c r="C28" s="270"/>
      <c r="D28" s="270"/>
      <c r="E28" s="272"/>
      <c r="F28" s="269"/>
      <c r="G28" s="269"/>
      <c r="H28" s="268"/>
      <c r="I28" s="268"/>
    </row>
    <row r="29" spans="1:10" ht="17.25" customHeight="1">
      <c r="A29" s="482"/>
      <c r="B29" s="482"/>
      <c r="C29" s="482"/>
      <c r="D29" s="482"/>
      <c r="E29" s="272"/>
      <c r="F29" s="270"/>
      <c r="G29" s="270"/>
      <c r="H29" s="268"/>
      <c r="I29" s="268"/>
    </row>
    <row r="30" spans="1:10" ht="28.5" customHeight="1">
      <c r="A30" s="268"/>
      <c r="B30" s="268"/>
      <c r="C30" s="272"/>
      <c r="D30" s="268"/>
      <c r="E30" s="272"/>
      <c r="F30" s="272"/>
      <c r="G30" s="272"/>
      <c r="H30" s="268"/>
      <c r="I30" s="268"/>
    </row>
    <row r="31" spans="1:10" ht="28.5" customHeight="1">
      <c r="A31" s="268"/>
      <c r="B31" s="268"/>
      <c r="C31" s="272"/>
      <c r="D31" s="268"/>
      <c r="E31" s="273"/>
      <c r="F31" s="273"/>
      <c r="G31" s="273"/>
      <c r="H31" s="273"/>
      <c r="I31" s="268"/>
    </row>
    <row r="32" spans="1:10" ht="28.5" customHeight="1">
      <c r="A32" s="268"/>
      <c r="B32" s="274"/>
      <c r="C32" s="275"/>
      <c r="D32" s="276"/>
      <c r="E32" s="277"/>
      <c r="F32" s="278"/>
      <c r="G32" s="278"/>
      <c r="H32" s="278"/>
      <c r="I32" s="268"/>
    </row>
    <row r="33" spans="1:9" ht="28.5" customHeight="1">
      <c r="A33" s="268"/>
      <c r="B33" s="274"/>
      <c r="C33" s="275"/>
      <c r="D33" s="276"/>
      <c r="E33" s="277"/>
      <c r="F33" s="278"/>
      <c r="G33" s="278"/>
      <c r="H33" s="278"/>
      <c r="I33" s="268"/>
    </row>
    <row r="34" spans="1:9" ht="28.5" customHeight="1">
      <c r="A34" s="268"/>
      <c r="B34" s="274"/>
      <c r="C34" s="275"/>
      <c r="D34" s="276"/>
      <c r="E34" s="277"/>
      <c r="F34" s="278"/>
      <c r="G34" s="278"/>
      <c r="H34" s="278"/>
      <c r="I34" s="268"/>
    </row>
    <row r="35" spans="1:9" ht="28.5" customHeight="1">
      <c r="A35" s="268"/>
      <c r="B35" s="274"/>
      <c r="C35" s="275"/>
      <c r="D35" s="276"/>
      <c r="E35" s="277"/>
      <c r="F35" s="278"/>
      <c r="G35" s="278"/>
      <c r="H35" s="278"/>
      <c r="I35" s="268"/>
    </row>
    <row r="36" spans="1:9" ht="28.5" customHeight="1">
      <c r="A36" s="268"/>
      <c r="B36" s="274"/>
      <c r="C36" s="275"/>
      <c r="D36" s="276"/>
      <c r="E36" s="277"/>
      <c r="F36" s="278"/>
      <c r="G36" s="278"/>
      <c r="H36" s="278"/>
      <c r="I36" s="268"/>
    </row>
    <row r="37" spans="1:9" ht="28.5" customHeight="1">
      <c r="A37" s="268"/>
      <c r="B37" s="274"/>
      <c r="C37" s="275"/>
      <c r="D37" s="276"/>
      <c r="E37" s="277"/>
      <c r="F37" s="278"/>
      <c r="G37" s="278"/>
      <c r="H37" s="278"/>
      <c r="I37" s="268"/>
    </row>
    <row r="38" spans="1:9" ht="28.5" customHeight="1">
      <c r="A38" s="268"/>
      <c r="B38" s="274"/>
      <c r="C38" s="275"/>
      <c r="D38" s="276"/>
      <c r="E38" s="277"/>
      <c r="F38" s="278"/>
      <c r="G38" s="278"/>
      <c r="H38" s="278"/>
      <c r="I38" s="268"/>
    </row>
    <row r="39" spans="1:9" ht="28.5" customHeight="1">
      <c r="A39" s="268"/>
      <c r="B39" s="268"/>
      <c r="C39" s="272"/>
      <c r="D39" s="268"/>
      <c r="E39" s="277"/>
      <c r="F39" s="272"/>
      <c r="G39" s="272"/>
      <c r="H39" s="279"/>
      <c r="I39" s="268"/>
    </row>
    <row r="40" spans="1:9" ht="28.5" customHeight="1">
      <c r="A40" s="268"/>
      <c r="B40" s="268"/>
      <c r="C40" s="272"/>
      <c r="D40" s="268"/>
      <c r="E40" s="272"/>
      <c r="F40" s="272"/>
      <c r="G40" s="272"/>
      <c r="H40" s="268"/>
      <c r="I40" s="268"/>
    </row>
    <row r="41" spans="1:9" ht="28.5" customHeight="1">
      <c r="A41" s="268"/>
      <c r="B41" s="268"/>
      <c r="C41" s="272"/>
      <c r="D41" s="268"/>
      <c r="E41" s="272"/>
      <c r="F41" s="272"/>
      <c r="G41" s="272"/>
      <c r="H41" s="268"/>
      <c r="I41" s="268"/>
    </row>
  </sheetData>
  <mergeCells count="9">
    <mergeCell ref="A10:H10"/>
    <mergeCell ref="A12:H12"/>
    <mergeCell ref="A22:F22"/>
    <mergeCell ref="A29:D29"/>
    <mergeCell ref="A14:A20"/>
    <mergeCell ref="B23:C23"/>
    <mergeCell ref="B24:C24"/>
    <mergeCell ref="A25:F25"/>
    <mergeCell ref="A26:F26"/>
  </mergeCells>
  <phoneticPr fontId="27" type="noConversion"/>
  <pageMargins left="0.27559055118110237" right="0.27559055118110237" top="0.74803149606299213" bottom="0.23622047244094491" header="0.15748031496062992" footer="0.15748031496062992"/>
  <pageSetup paperSize="9" scale="64" fitToHeight="0" orientation="portrait" r:id="rId1"/>
  <rowBreaks count="1" manualBreakCount="1">
    <brk id="29" max="8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4" tint="-0.499984740745262"/>
  </sheetPr>
  <dimension ref="A1:Q171"/>
  <sheetViews>
    <sheetView showGridLines="0" topLeftCell="A141" zoomScaleNormal="100" zoomScaleSheetLayoutView="90" workbookViewId="0">
      <selection activeCell="L170" sqref="L170"/>
    </sheetView>
  </sheetViews>
  <sheetFormatPr defaultColWidth="9.140625" defaultRowHeight="15" customHeight="1"/>
  <cols>
    <col min="1" max="1" width="3.140625" style="63" customWidth="1"/>
    <col min="2" max="2" width="19.28515625" style="23" customWidth="1"/>
    <col min="3" max="3" width="20.85546875" style="23" customWidth="1"/>
    <col min="4" max="4" width="13.140625" style="23" customWidth="1"/>
    <col min="5" max="5" width="5.42578125" style="23" customWidth="1"/>
    <col min="6" max="6" width="12.7109375" style="23" customWidth="1"/>
    <col min="7" max="7" width="11.85546875" style="187" customWidth="1"/>
    <col min="8" max="8" width="7.140625" style="23" customWidth="1"/>
    <col min="9" max="9" width="7.85546875" style="187" customWidth="1"/>
    <col min="10" max="10" width="12.85546875" style="187" bestFit="1" customWidth="1"/>
    <col min="11" max="11" width="11.42578125" style="188" customWidth="1"/>
    <col min="12" max="12" width="18.42578125" style="189" customWidth="1"/>
    <col min="13" max="13" width="10.42578125" style="63" customWidth="1"/>
    <col min="14" max="15" width="11.140625" style="63" bestFit="1" customWidth="1"/>
    <col min="16" max="16" width="13.42578125" style="63" customWidth="1"/>
    <col min="17" max="17" width="14.42578125" style="63" customWidth="1"/>
    <col min="18" max="16384" width="9.140625" style="63"/>
  </cols>
  <sheetData>
    <row r="1" spans="1:12" ht="18" customHeight="1">
      <c r="A1" s="496" t="s">
        <v>357</v>
      </c>
      <c r="B1" s="496"/>
      <c r="C1" s="496"/>
      <c r="D1" s="496"/>
      <c r="E1" s="496"/>
      <c r="F1" s="496"/>
      <c r="G1" s="496"/>
      <c r="H1" s="496"/>
      <c r="I1" s="496"/>
      <c r="J1" s="496"/>
      <c r="K1" s="496"/>
      <c r="L1" s="496"/>
    </row>
    <row r="2" spans="1:12" s="158" customFormat="1" ht="15.75" customHeight="1">
      <c r="B2" s="497"/>
      <c r="C2" s="497"/>
      <c r="D2" s="497"/>
      <c r="E2" s="497"/>
      <c r="F2" s="497"/>
      <c r="G2" s="497"/>
      <c r="H2" s="497"/>
      <c r="I2" s="497"/>
      <c r="K2" s="159"/>
    </row>
    <row r="3" spans="1:12" s="158" customFormat="1" ht="15.75" customHeight="1"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</row>
    <row r="4" spans="1:12" s="158" customFormat="1" ht="15.75" customHeight="1">
      <c r="B4" s="497"/>
      <c r="C4" s="497"/>
      <c r="D4" s="497"/>
      <c r="E4" s="497"/>
      <c r="F4" s="497"/>
      <c r="G4" s="497"/>
      <c r="H4" s="497"/>
      <c r="I4" s="497"/>
      <c r="K4" s="159"/>
    </row>
    <row r="5" spans="1:12" s="158" customFormat="1" ht="15.75" customHeight="1">
      <c r="B5" s="142"/>
      <c r="C5" s="142"/>
      <c r="D5" s="142"/>
      <c r="E5" s="142"/>
      <c r="F5" s="142"/>
      <c r="G5" s="142"/>
      <c r="H5" s="142"/>
      <c r="I5" s="142"/>
      <c r="K5" s="159"/>
    </row>
    <row r="6" spans="1:12" ht="13.5" customHeight="1">
      <c r="B6" s="498"/>
      <c r="C6" s="498"/>
      <c r="D6" s="498"/>
      <c r="E6" s="498"/>
      <c r="F6" s="498"/>
      <c r="G6" s="498"/>
      <c r="H6" s="498"/>
      <c r="I6" s="498"/>
      <c r="J6" s="498"/>
      <c r="K6" s="498"/>
      <c r="L6" s="498"/>
    </row>
    <row r="7" spans="1:12" ht="12" customHeight="1">
      <c r="B7" s="160"/>
      <c r="C7" s="160"/>
      <c r="D7" s="160"/>
      <c r="E7" s="160"/>
      <c r="F7" s="160"/>
      <c r="G7" s="161"/>
      <c r="H7" s="161"/>
      <c r="I7" s="161"/>
      <c r="J7" s="161"/>
      <c r="K7" s="162"/>
      <c r="L7" s="161"/>
    </row>
    <row r="8" spans="1:12" ht="15" customHeight="1">
      <c r="B8" s="499" t="s">
        <v>299</v>
      </c>
      <c r="C8" s="500"/>
      <c r="D8" s="500"/>
      <c r="E8" s="500"/>
      <c r="F8" s="500"/>
      <c r="G8" s="500"/>
      <c r="H8" s="500"/>
      <c r="I8" s="500"/>
      <c r="J8" s="500"/>
      <c r="K8" s="500"/>
      <c r="L8" s="501"/>
    </row>
    <row r="9" spans="1:12" ht="15" customHeight="1">
      <c r="B9" s="64" t="s">
        <v>78</v>
      </c>
      <c r="C9" s="329" t="s">
        <v>300</v>
      </c>
      <c r="D9" s="492"/>
      <c r="E9" s="492"/>
      <c r="F9" s="492"/>
      <c r="G9" s="492"/>
      <c r="H9" s="492"/>
      <c r="I9" s="492"/>
      <c r="J9" s="330"/>
      <c r="K9" s="493" t="s">
        <v>538</v>
      </c>
      <c r="L9" s="493"/>
    </row>
    <row r="10" spans="1:12" ht="15" customHeight="1">
      <c r="B10" s="64" t="s">
        <v>83</v>
      </c>
      <c r="C10" s="329" t="s">
        <v>301</v>
      </c>
      <c r="D10" s="492"/>
      <c r="E10" s="492"/>
      <c r="F10" s="492"/>
      <c r="G10" s="492"/>
      <c r="H10" s="492"/>
      <c r="I10" s="492"/>
      <c r="J10" s="330"/>
      <c r="K10" s="494" t="s">
        <v>374</v>
      </c>
      <c r="L10" s="495"/>
    </row>
    <row r="11" spans="1:12" ht="15" customHeight="1">
      <c r="B11" s="64" t="s">
        <v>86</v>
      </c>
      <c r="C11" s="329" t="s">
        <v>302</v>
      </c>
      <c r="D11" s="492"/>
      <c r="E11" s="492"/>
      <c r="F11" s="492"/>
      <c r="G11" s="492"/>
      <c r="H11" s="492"/>
      <c r="I11" s="492"/>
      <c r="J11" s="330"/>
      <c r="K11" s="494" t="s">
        <v>539</v>
      </c>
      <c r="L11" s="495"/>
    </row>
    <row r="12" spans="1:12" ht="15" customHeight="1">
      <c r="B12" s="64" t="s">
        <v>88</v>
      </c>
      <c r="C12" s="509" t="s">
        <v>303</v>
      </c>
      <c r="D12" s="510"/>
      <c r="E12" s="510"/>
      <c r="F12" s="510"/>
      <c r="G12" s="510"/>
      <c r="H12" s="510"/>
      <c r="I12" s="510"/>
      <c r="J12" s="511"/>
      <c r="K12" s="494">
        <v>12</v>
      </c>
      <c r="L12" s="495"/>
    </row>
    <row r="13" spans="1:12" ht="7.5" customHeight="1">
      <c r="B13" s="163"/>
      <c r="C13" s="163"/>
      <c r="D13" s="163"/>
      <c r="E13" s="163"/>
      <c r="F13" s="163"/>
      <c r="G13" s="164"/>
      <c r="H13" s="163"/>
      <c r="I13" s="164"/>
      <c r="J13" s="164"/>
      <c r="K13" s="165"/>
      <c r="L13" s="164"/>
    </row>
    <row r="14" spans="1:12" ht="15" customHeight="1">
      <c r="B14" s="506" t="s">
        <v>90</v>
      </c>
      <c r="C14" s="507"/>
      <c r="D14" s="507"/>
      <c r="E14" s="507"/>
      <c r="F14" s="507"/>
      <c r="G14" s="507"/>
      <c r="H14" s="507"/>
      <c r="I14" s="507"/>
      <c r="J14" s="507"/>
      <c r="K14" s="507"/>
      <c r="L14" s="508"/>
    </row>
    <row r="15" spans="1:12" ht="15" customHeight="1">
      <c r="B15" s="512" t="s">
        <v>304</v>
      </c>
      <c r="C15" s="512"/>
      <c r="D15" s="512"/>
      <c r="E15" s="512"/>
      <c r="F15" s="512"/>
      <c r="G15" s="512"/>
      <c r="H15" s="512"/>
      <c r="I15" s="512"/>
      <c r="J15" s="512"/>
      <c r="K15" s="512"/>
      <c r="L15" s="512"/>
    </row>
    <row r="16" spans="1:12" ht="15" customHeight="1">
      <c r="B16" s="499" t="s">
        <v>305</v>
      </c>
      <c r="C16" s="500"/>
      <c r="D16" s="500"/>
      <c r="E16" s="501"/>
      <c r="F16" s="499" t="s">
        <v>92</v>
      </c>
      <c r="G16" s="500"/>
      <c r="H16" s="501"/>
      <c r="I16" s="512" t="s">
        <v>306</v>
      </c>
      <c r="J16" s="512"/>
      <c r="K16" s="512"/>
      <c r="L16" s="512"/>
    </row>
    <row r="17" spans="1:12" ht="23.25" customHeight="1">
      <c r="B17" s="502" t="s">
        <v>58</v>
      </c>
      <c r="C17" s="503"/>
      <c r="D17" s="503"/>
      <c r="E17" s="504"/>
      <c r="F17" s="494" t="s">
        <v>377</v>
      </c>
      <c r="G17" s="505"/>
      <c r="H17" s="495"/>
      <c r="I17" s="494">
        <v>1</v>
      </c>
      <c r="J17" s="505"/>
      <c r="K17" s="505"/>
      <c r="L17" s="495"/>
    </row>
    <row r="18" spans="1:12" ht="7.5" customHeight="1">
      <c r="B18" s="163"/>
      <c r="C18" s="163"/>
      <c r="D18" s="163"/>
      <c r="E18" s="163"/>
      <c r="F18" s="163"/>
      <c r="G18" s="164"/>
      <c r="H18" s="163"/>
      <c r="I18" s="164"/>
      <c r="J18" s="164"/>
      <c r="K18" s="165"/>
      <c r="L18" s="164"/>
    </row>
    <row r="19" spans="1:12" s="140" customFormat="1" ht="22.5" customHeight="1">
      <c r="A19" s="166"/>
      <c r="B19" s="506" t="s">
        <v>307</v>
      </c>
      <c r="C19" s="507"/>
      <c r="D19" s="507"/>
      <c r="E19" s="507"/>
      <c r="F19" s="507"/>
      <c r="G19" s="507"/>
      <c r="H19" s="507"/>
      <c r="I19" s="507"/>
      <c r="J19" s="507"/>
      <c r="K19" s="507"/>
      <c r="L19" s="508"/>
    </row>
    <row r="20" spans="1:12" s="140" customFormat="1" ht="15" customHeight="1">
      <c r="A20" s="166"/>
      <c r="B20" s="499" t="s">
        <v>308</v>
      </c>
      <c r="C20" s="500"/>
      <c r="D20" s="500"/>
      <c r="E20" s="500"/>
      <c r="F20" s="500"/>
      <c r="G20" s="500"/>
      <c r="H20" s="500"/>
      <c r="I20" s="500"/>
      <c r="J20" s="500"/>
      <c r="K20" s="500"/>
      <c r="L20" s="501"/>
    </row>
    <row r="21" spans="1:12" s="149" customFormat="1" ht="15" customHeight="1">
      <c r="A21" s="166"/>
      <c r="B21" s="64">
        <v>1</v>
      </c>
      <c r="C21" s="329" t="s">
        <v>313</v>
      </c>
      <c r="D21" s="492"/>
      <c r="E21" s="492"/>
      <c r="F21" s="492"/>
      <c r="G21" s="492"/>
      <c r="H21" s="492"/>
      <c r="I21" s="492"/>
      <c r="J21" s="330"/>
      <c r="K21" s="493" t="str">
        <f>B17</f>
        <v>ENCARREGADO</v>
      </c>
      <c r="L21" s="493"/>
    </row>
    <row r="22" spans="1:12" s="140" customFormat="1" ht="15" customHeight="1">
      <c r="A22" s="166"/>
      <c r="B22" s="64">
        <v>2</v>
      </c>
      <c r="C22" s="329" t="s">
        <v>297</v>
      </c>
      <c r="D22" s="492"/>
      <c r="E22" s="492"/>
      <c r="F22" s="492"/>
      <c r="G22" s="492"/>
      <c r="H22" s="492"/>
      <c r="I22" s="492"/>
      <c r="J22" s="330"/>
      <c r="K22" s="494" t="s">
        <v>378</v>
      </c>
      <c r="L22" s="495"/>
    </row>
    <row r="23" spans="1:12" s="140" customFormat="1" ht="15" customHeight="1">
      <c r="A23" s="166"/>
      <c r="B23" s="64">
        <v>3</v>
      </c>
      <c r="C23" s="329" t="s">
        <v>314</v>
      </c>
      <c r="D23" s="492"/>
      <c r="E23" s="492"/>
      <c r="F23" s="492"/>
      <c r="G23" s="492"/>
      <c r="H23" s="492"/>
      <c r="I23" s="492"/>
      <c r="J23" s="330"/>
      <c r="K23" s="513">
        <v>1580.23</v>
      </c>
      <c r="L23" s="514"/>
    </row>
    <row r="24" spans="1:12" ht="15" customHeight="1">
      <c r="A24" s="166"/>
      <c r="B24" s="64">
        <v>4</v>
      </c>
      <c r="C24" s="509" t="s">
        <v>309</v>
      </c>
      <c r="D24" s="510"/>
      <c r="E24" s="510"/>
      <c r="F24" s="510"/>
      <c r="G24" s="510"/>
      <c r="H24" s="510"/>
      <c r="I24" s="510"/>
      <c r="J24" s="511"/>
      <c r="K24" s="515">
        <v>44927</v>
      </c>
      <c r="L24" s="516"/>
    </row>
    <row r="25" spans="1:12" ht="7.5" customHeight="1">
      <c r="B25" s="163"/>
      <c r="C25" s="163"/>
      <c r="D25" s="163"/>
      <c r="E25" s="163"/>
      <c r="F25" s="163"/>
      <c r="G25" s="164"/>
      <c r="H25" s="163"/>
      <c r="I25" s="164"/>
      <c r="J25" s="164"/>
      <c r="K25" s="165"/>
      <c r="L25" s="164"/>
    </row>
    <row r="26" spans="1:12" ht="15" customHeight="1">
      <c r="B26" s="499" t="s">
        <v>310</v>
      </c>
      <c r="C26" s="500"/>
      <c r="D26" s="500"/>
      <c r="E26" s="500"/>
      <c r="F26" s="500"/>
      <c r="G26" s="500"/>
      <c r="H26" s="500"/>
      <c r="I26" s="500"/>
      <c r="J26" s="500"/>
      <c r="K26" s="500"/>
      <c r="L26" s="501"/>
    </row>
    <row r="27" spans="1:12" ht="15" customHeight="1">
      <c r="B27" s="64">
        <v>1</v>
      </c>
      <c r="C27" s="499" t="s">
        <v>107</v>
      </c>
      <c r="D27" s="500"/>
      <c r="E27" s="500"/>
      <c r="F27" s="500"/>
      <c r="G27" s="500"/>
      <c r="H27" s="500"/>
      <c r="I27" s="500"/>
      <c r="J27" s="500"/>
      <c r="K27" s="501"/>
      <c r="L27" s="167" t="s">
        <v>108</v>
      </c>
    </row>
    <row r="28" spans="1:12" ht="15" customHeight="1">
      <c r="B28" s="64" t="s">
        <v>78</v>
      </c>
      <c r="C28" s="329" t="s">
        <v>109</v>
      </c>
      <c r="D28" s="492"/>
      <c r="E28" s="492"/>
      <c r="F28" s="492"/>
      <c r="G28" s="492"/>
      <c r="H28" s="492"/>
      <c r="I28" s="492"/>
      <c r="J28" s="330"/>
      <c r="K28" s="136"/>
      <c r="L28" s="137">
        <f>K23</f>
        <v>1580.23</v>
      </c>
    </row>
    <row r="29" spans="1:12" ht="15" customHeight="1">
      <c r="B29" s="64" t="s">
        <v>83</v>
      </c>
      <c r="C29" s="329" t="s">
        <v>110</v>
      </c>
      <c r="D29" s="492"/>
      <c r="E29" s="492"/>
      <c r="F29" s="492"/>
      <c r="G29" s="492"/>
      <c r="H29" s="492"/>
      <c r="I29" s="492"/>
      <c r="J29" s="330"/>
      <c r="K29" s="136"/>
      <c r="L29" s="137">
        <f>$L$28*K29</f>
        <v>0</v>
      </c>
    </row>
    <row r="30" spans="1:12" ht="15" customHeight="1">
      <c r="B30" s="64" t="s">
        <v>86</v>
      </c>
      <c r="C30" s="329" t="s">
        <v>111</v>
      </c>
      <c r="D30" s="492"/>
      <c r="E30" s="492"/>
      <c r="F30" s="492"/>
      <c r="G30" s="492"/>
      <c r="H30" s="492"/>
      <c r="I30" s="492"/>
      <c r="J30" s="330"/>
      <c r="K30" s="168"/>
      <c r="L30" s="137">
        <f t="shared" ref="L30:L33" si="0">$L$28*K30</f>
        <v>0</v>
      </c>
    </row>
    <row r="31" spans="1:12" ht="15" customHeight="1">
      <c r="B31" s="64" t="s">
        <v>88</v>
      </c>
      <c r="C31" s="329" t="s">
        <v>112</v>
      </c>
      <c r="D31" s="492"/>
      <c r="E31" s="492"/>
      <c r="F31" s="492"/>
      <c r="G31" s="492"/>
      <c r="H31" s="492"/>
      <c r="I31" s="492"/>
      <c r="J31" s="330"/>
      <c r="K31" s="136"/>
      <c r="L31" s="137">
        <f t="shared" si="0"/>
        <v>0</v>
      </c>
    </row>
    <row r="32" spans="1:12" ht="15" customHeight="1">
      <c r="B32" s="64" t="s">
        <v>113</v>
      </c>
      <c r="C32" s="329" t="s">
        <v>311</v>
      </c>
      <c r="D32" s="492"/>
      <c r="E32" s="492"/>
      <c r="F32" s="492"/>
      <c r="G32" s="492"/>
      <c r="H32" s="492"/>
      <c r="I32" s="492"/>
      <c r="J32" s="330"/>
      <c r="K32" s="136"/>
      <c r="L32" s="137">
        <f t="shared" si="0"/>
        <v>0</v>
      </c>
    </row>
    <row r="33" spans="2:12" ht="15" customHeight="1">
      <c r="B33" s="64" t="s">
        <v>116</v>
      </c>
      <c r="C33" s="329" t="s">
        <v>126</v>
      </c>
      <c r="D33" s="492"/>
      <c r="E33" s="492"/>
      <c r="F33" s="492"/>
      <c r="G33" s="492"/>
      <c r="H33" s="492"/>
      <c r="I33" s="492"/>
      <c r="J33" s="330"/>
      <c r="K33" s="136"/>
      <c r="L33" s="137">
        <f t="shared" si="0"/>
        <v>0</v>
      </c>
    </row>
    <row r="34" spans="2:12" ht="15" customHeight="1">
      <c r="B34" s="499" t="s">
        <v>128</v>
      </c>
      <c r="C34" s="500"/>
      <c r="D34" s="500"/>
      <c r="E34" s="500"/>
      <c r="F34" s="500"/>
      <c r="G34" s="500"/>
      <c r="H34" s="500"/>
      <c r="I34" s="501"/>
      <c r="J34" s="169"/>
      <c r="K34" s="170"/>
      <c r="L34" s="171">
        <f>SUM(L28:L33)</f>
        <v>1580.23</v>
      </c>
    </row>
    <row r="35" spans="2:12" ht="15" hidden="1" customHeight="1">
      <c r="B35" s="519" t="s">
        <v>312</v>
      </c>
      <c r="C35" s="519"/>
      <c r="D35" s="519"/>
      <c r="E35" s="519"/>
      <c r="F35" s="519"/>
      <c r="G35" s="519"/>
      <c r="H35" s="519"/>
      <c r="I35" s="519"/>
      <c r="J35" s="519"/>
      <c r="K35" s="519"/>
      <c r="L35" s="519"/>
    </row>
    <row r="36" spans="2:12" ht="7.5" customHeight="1">
      <c r="B36" s="163"/>
      <c r="C36" s="163"/>
      <c r="D36" s="163"/>
      <c r="E36" s="163"/>
      <c r="F36" s="163"/>
      <c r="G36" s="164"/>
      <c r="H36" s="163"/>
      <c r="I36" s="164"/>
      <c r="J36" s="164"/>
      <c r="K36" s="165"/>
      <c r="L36" s="164"/>
    </row>
    <row r="37" spans="2:12" ht="15" customHeight="1">
      <c r="B37" s="499" t="s">
        <v>315</v>
      </c>
      <c r="C37" s="500"/>
      <c r="D37" s="500"/>
      <c r="E37" s="500"/>
      <c r="F37" s="500"/>
      <c r="G37" s="500"/>
      <c r="H37" s="500"/>
      <c r="I37" s="500"/>
      <c r="J37" s="500"/>
      <c r="K37" s="500"/>
      <c r="L37" s="501"/>
    </row>
    <row r="38" spans="2:12" ht="15" customHeight="1">
      <c r="B38" s="64" t="s">
        <v>316</v>
      </c>
      <c r="C38" s="499" t="s">
        <v>317</v>
      </c>
      <c r="D38" s="500"/>
      <c r="E38" s="500"/>
      <c r="F38" s="500"/>
      <c r="G38" s="500"/>
      <c r="H38" s="500"/>
      <c r="I38" s="500"/>
      <c r="J38" s="501"/>
      <c r="K38" s="172" t="s">
        <v>166</v>
      </c>
      <c r="L38" s="167" t="s">
        <v>108</v>
      </c>
    </row>
    <row r="39" spans="2:12" ht="15" customHeight="1">
      <c r="B39" s="64" t="s">
        <v>78</v>
      </c>
      <c r="C39" s="329" t="s">
        <v>181</v>
      </c>
      <c r="D39" s="492"/>
      <c r="E39" s="492"/>
      <c r="F39" s="492"/>
      <c r="G39" s="492"/>
      <c r="H39" s="492"/>
      <c r="I39" s="492"/>
      <c r="J39" s="330"/>
      <c r="K39" s="136">
        <f>(1/12)</f>
        <v>8.3299999999999999E-2</v>
      </c>
      <c r="L39" s="137">
        <f>ROUND($L$34*K39,2)</f>
        <v>131.63</v>
      </c>
    </row>
    <row r="40" spans="2:12" ht="15" customHeight="1">
      <c r="B40" s="64" t="s">
        <v>83</v>
      </c>
      <c r="C40" s="329" t="s">
        <v>358</v>
      </c>
      <c r="D40" s="492"/>
      <c r="E40" s="492"/>
      <c r="F40" s="492"/>
      <c r="G40" s="492"/>
      <c r="H40" s="492"/>
      <c r="I40" s="492"/>
      <c r="J40" s="330"/>
      <c r="K40" s="136">
        <v>0.121</v>
      </c>
      <c r="L40" s="137">
        <f>K40*$L$34</f>
        <v>191.21</v>
      </c>
    </row>
    <row r="41" spans="2:12" ht="15" customHeight="1">
      <c r="B41" s="499" t="s">
        <v>57</v>
      </c>
      <c r="C41" s="500"/>
      <c r="D41" s="500"/>
      <c r="E41" s="500"/>
      <c r="F41" s="500"/>
      <c r="G41" s="500"/>
      <c r="H41" s="500"/>
      <c r="I41" s="500"/>
      <c r="J41" s="501"/>
      <c r="K41" s="173">
        <f>SUM(K39:K40)</f>
        <v>0.20430000000000001</v>
      </c>
      <c r="L41" s="174">
        <f>SUM(L39:L40)</f>
        <v>322.83999999999997</v>
      </c>
    </row>
    <row r="42" spans="2:12" ht="24" hidden="1" customHeight="1">
      <c r="B42" s="517" t="s">
        <v>524</v>
      </c>
      <c r="C42" s="517"/>
      <c r="D42" s="517"/>
      <c r="E42" s="517"/>
      <c r="F42" s="517"/>
      <c r="G42" s="517"/>
      <c r="H42" s="517"/>
      <c r="I42" s="517"/>
      <c r="J42" s="517"/>
      <c r="K42" s="517"/>
      <c r="L42" s="517"/>
    </row>
    <row r="43" spans="2:12" ht="15.75" hidden="1" customHeight="1">
      <c r="B43" s="518" t="s">
        <v>525</v>
      </c>
      <c r="C43" s="518"/>
      <c r="D43" s="518"/>
      <c r="E43" s="518"/>
      <c r="F43" s="518"/>
      <c r="G43" s="518"/>
      <c r="H43" s="518"/>
      <c r="I43" s="518"/>
      <c r="J43" s="518"/>
      <c r="K43" s="518"/>
      <c r="L43" s="518"/>
    </row>
    <row r="44" spans="2:12" ht="26.25" hidden="1" customHeight="1">
      <c r="B44" s="518" t="s">
        <v>526</v>
      </c>
      <c r="C44" s="518"/>
      <c r="D44" s="518"/>
      <c r="E44" s="518"/>
      <c r="F44" s="518"/>
      <c r="G44" s="518"/>
      <c r="H44" s="518"/>
      <c r="I44" s="518"/>
      <c r="J44" s="518"/>
      <c r="K44" s="518"/>
      <c r="L44" s="518"/>
    </row>
    <row r="45" spans="2:12" ht="7.5" customHeight="1">
      <c r="B45" s="163"/>
      <c r="C45" s="163"/>
      <c r="D45" s="163"/>
      <c r="E45" s="163"/>
      <c r="F45" s="163"/>
      <c r="G45" s="164"/>
      <c r="H45" s="163"/>
      <c r="I45" s="164"/>
      <c r="J45" s="164"/>
      <c r="K45" s="165"/>
      <c r="L45" s="164"/>
    </row>
    <row r="46" spans="2:12" ht="16.5" customHeight="1">
      <c r="B46" s="502" t="s">
        <v>366</v>
      </c>
      <c r="C46" s="503"/>
      <c r="D46" s="503"/>
      <c r="E46" s="503"/>
      <c r="F46" s="503"/>
      <c r="G46" s="503"/>
      <c r="H46" s="503"/>
      <c r="I46" s="503"/>
      <c r="J46" s="503"/>
      <c r="K46" s="503"/>
      <c r="L46" s="504"/>
    </row>
    <row r="47" spans="2:12" ht="14.25" customHeight="1">
      <c r="B47" s="64" t="s">
        <v>318</v>
      </c>
      <c r="C47" s="499" t="s">
        <v>319</v>
      </c>
      <c r="D47" s="500"/>
      <c r="E47" s="500"/>
      <c r="F47" s="500"/>
      <c r="G47" s="500"/>
      <c r="H47" s="500"/>
      <c r="I47" s="500"/>
      <c r="J47" s="501"/>
      <c r="K47" s="172" t="s">
        <v>166</v>
      </c>
      <c r="L47" s="167" t="s">
        <v>108</v>
      </c>
    </row>
    <row r="48" spans="2:12" ht="15" customHeight="1">
      <c r="B48" s="64" t="s">
        <v>78</v>
      </c>
      <c r="C48" s="329" t="s">
        <v>167</v>
      </c>
      <c r="D48" s="492"/>
      <c r="E48" s="492"/>
      <c r="F48" s="492"/>
      <c r="G48" s="492"/>
      <c r="H48" s="492"/>
      <c r="I48" s="492"/>
      <c r="J48" s="330"/>
      <c r="K48" s="136">
        <v>0.2</v>
      </c>
      <c r="L48" s="137">
        <f>ROUND(($L$34+$L$41)*K48,2)</f>
        <v>380.61</v>
      </c>
    </row>
    <row r="49" spans="2:17" ht="15" customHeight="1">
      <c r="B49" s="64" t="s">
        <v>83</v>
      </c>
      <c r="C49" s="329" t="s">
        <v>171</v>
      </c>
      <c r="D49" s="492"/>
      <c r="E49" s="492"/>
      <c r="F49" s="492"/>
      <c r="G49" s="492"/>
      <c r="H49" s="492"/>
      <c r="I49" s="492"/>
      <c r="J49" s="330"/>
      <c r="K49" s="136">
        <v>2.5000000000000001E-2</v>
      </c>
      <c r="L49" s="137">
        <f t="shared" ref="L49:L55" si="1">ROUND(($L$34+$L$41)*K49,2)</f>
        <v>47.58</v>
      </c>
    </row>
    <row r="50" spans="2:17" ht="15" customHeight="1">
      <c r="B50" s="64" t="s">
        <v>86</v>
      </c>
      <c r="C50" s="329" t="s">
        <v>261</v>
      </c>
      <c r="D50" s="492"/>
      <c r="E50" s="492"/>
      <c r="F50" s="492"/>
      <c r="G50" s="492"/>
      <c r="H50" s="492"/>
      <c r="I50" s="492"/>
      <c r="J50" s="330"/>
      <c r="K50" s="136">
        <v>1.9400000000000001E-2</v>
      </c>
      <c r="L50" s="137">
        <f t="shared" si="1"/>
        <v>36.92</v>
      </c>
    </row>
    <row r="51" spans="2:17" ht="15" customHeight="1">
      <c r="B51" s="64" t="s">
        <v>88</v>
      </c>
      <c r="C51" s="329" t="s">
        <v>168</v>
      </c>
      <c r="D51" s="492"/>
      <c r="E51" s="492"/>
      <c r="F51" s="492"/>
      <c r="G51" s="492"/>
      <c r="H51" s="492"/>
      <c r="I51" s="492"/>
      <c r="J51" s="330"/>
      <c r="K51" s="136">
        <v>1.4999999999999999E-2</v>
      </c>
      <c r="L51" s="137">
        <f t="shared" si="1"/>
        <v>28.55</v>
      </c>
    </row>
    <row r="52" spans="2:17" ht="15" customHeight="1">
      <c r="B52" s="64" t="s">
        <v>113</v>
      </c>
      <c r="C52" s="329" t="s">
        <v>169</v>
      </c>
      <c r="D52" s="492"/>
      <c r="E52" s="492"/>
      <c r="F52" s="492"/>
      <c r="G52" s="492"/>
      <c r="H52" s="492"/>
      <c r="I52" s="492"/>
      <c r="J52" s="330"/>
      <c r="K52" s="136">
        <v>0.01</v>
      </c>
      <c r="L52" s="137">
        <f t="shared" si="1"/>
        <v>19.03</v>
      </c>
    </row>
    <row r="53" spans="2:17" ht="15" customHeight="1">
      <c r="B53" s="64" t="s">
        <v>116</v>
      </c>
      <c r="C53" s="329" t="s">
        <v>174</v>
      </c>
      <c r="D53" s="492"/>
      <c r="E53" s="492"/>
      <c r="F53" s="492"/>
      <c r="G53" s="492"/>
      <c r="H53" s="492"/>
      <c r="I53" s="492"/>
      <c r="J53" s="330"/>
      <c r="K53" s="136">
        <v>6.0000000000000001E-3</v>
      </c>
      <c r="L53" s="137">
        <f t="shared" si="1"/>
        <v>11.42</v>
      </c>
    </row>
    <row r="54" spans="2:17" ht="15" customHeight="1">
      <c r="B54" s="64" t="s">
        <v>122</v>
      </c>
      <c r="C54" s="329" t="s">
        <v>170</v>
      </c>
      <c r="D54" s="492"/>
      <c r="E54" s="492"/>
      <c r="F54" s="492"/>
      <c r="G54" s="492"/>
      <c r="H54" s="492"/>
      <c r="I54" s="492"/>
      <c r="J54" s="330"/>
      <c r="K54" s="136">
        <v>2E-3</v>
      </c>
      <c r="L54" s="137">
        <f t="shared" si="1"/>
        <v>3.81</v>
      </c>
    </row>
    <row r="55" spans="2:17" ht="15" customHeight="1">
      <c r="B55" s="64" t="s">
        <v>125</v>
      </c>
      <c r="C55" s="329" t="s">
        <v>172</v>
      </c>
      <c r="D55" s="492"/>
      <c r="E55" s="492"/>
      <c r="F55" s="492"/>
      <c r="G55" s="492"/>
      <c r="H55" s="492"/>
      <c r="I55" s="492"/>
      <c r="J55" s="330"/>
      <c r="K55" s="136">
        <v>0.08</v>
      </c>
      <c r="L55" s="137">
        <f t="shared" si="1"/>
        <v>152.25</v>
      </c>
    </row>
    <row r="56" spans="2:17" ht="15" customHeight="1">
      <c r="B56" s="499" t="s">
        <v>57</v>
      </c>
      <c r="C56" s="500"/>
      <c r="D56" s="500"/>
      <c r="E56" s="500"/>
      <c r="F56" s="500"/>
      <c r="G56" s="500"/>
      <c r="H56" s="500"/>
      <c r="I56" s="500"/>
      <c r="J56" s="501"/>
      <c r="K56" s="173">
        <f>SUM(K48:K55)</f>
        <v>0.3574</v>
      </c>
      <c r="L56" s="174">
        <f>SUM(L48:L55)</f>
        <v>680.17</v>
      </c>
    </row>
    <row r="57" spans="2:17" ht="11.25" hidden="1" customHeight="1">
      <c r="B57" s="520" t="s">
        <v>527</v>
      </c>
      <c r="C57" s="520"/>
      <c r="D57" s="520"/>
      <c r="E57" s="520"/>
      <c r="F57" s="520"/>
      <c r="G57" s="518"/>
      <c r="H57" s="518"/>
      <c r="I57" s="518"/>
      <c r="J57" s="518"/>
      <c r="K57" s="518"/>
      <c r="L57" s="518"/>
    </row>
    <row r="58" spans="2:17" ht="11.25" hidden="1" customHeight="1">
      <c r="B58" s="518" t="s">
        <v>528</v>
      </c>
      <c r="C58" s="518"/>
      <c r="D58" s="518"/>
      <c r="E58" s="518"/>
      <c r="F58" s="518"/>
      <c r="G58" s="518"/>
      <c r="H58" s="518"/>
      <c r="I58" s="518"/>
      <c r="J58" s="518"/>
      <c r="K58" s="518"/>
      <c r="L58" s="518"/>
    </row>
    <row r="59" spans="2:17" ht="11.25" hidden="1" customHeight="1">
      <c r="B59" s="518" t="s">
        <v>529</v>
      </c>
      <c r="C59" s="518"/>
      <c r="D59" s="518"/>
      <c r="E59" s="518"/>
      <c r="F59" s="518"/>
      <c r="G59" s="518"/>
      <c r="H59" s="518"/>
      <c r="I59" s="518"/>
      <c r="J59" s="518"/>
      <c r="K59" s="518"/>
      <c r="L59" s="518"/>
    </row>
    <row r="60" spans="2:17" ht="7.5" customHeight="1">
      <c r="B60" s="163"/>
      <c r="C60" s="163"/>
      <c r="D60" s="163"/>
      <c r="E60" s="163"/>
      <c r="F60" s="163"/>
      <c r="G60" s="164"/>
      <c r="H60" s="163"/>
      <c r="I60" s="164"/>
      <c r="J60" s="164"/>
      <c r="K60" s="165"/>
      <c r="L60" s="164"/>
    </row>
    <row r="61" spans="2:17" ht="15" customHeight="1">
      <c r="B61" s="499" t="s">
        <v>334</v>
      </c>
      <c r="C61" s="500"/>
      <c r="D61" s="500"/>
      <c r="E61" s="500"/>
      <c r="F61" s="500"/>
      <c r="G61" s="500"/>
      <c r="H61" s="500"/>
      <c r="I61" s="500"/>
      <c r="J61" s="500"/>
      <c r="K61" s="500"/>
      <c r="L61" s="501"/>
      <c r="Q61" s="175"/>
    </row>
    <row r="62" spans="2:17" ht="14.25" customHeight="1">
      <c r="B62" s="64" t="s">
        <v>321</v>
      </c>
      <c r="C62" s="499" t="s">
        <v>324</v>
      </c>
      <c r="D62" s="500"/>
      <c r="E62" s="500"/>
      <c r="F62" s="500"/>
      <c r="G62" s="500"/>
      <c r="H62" s="500"/>
      <c r="I62" s="500"/>
      <c r="J62" s="500"/>
      <c r="K62" s="501"/>
      <c r="L62" s="167" t="s">
        <v>108</v>
      </c>
    </row>
    <row r="63" spans="2:17" ht="15" customHeight="1">
      <c r="B63" s="176" t="s">
        <v>78</v>
      </c>
      <c r="C63" s="329" t="s">
        <v>133</v>
      </c>
      <c r="D63" s="492"/>
      <c r="E63" s="492"/>
      <c r="F63" s="492"/>
      <c r="G63" s="492"/>
      <c r="H63" s="492"/>
      <c r="I63" s="492"/>
      <c r="J63" s="492"/>
      <c r="K63" s="330"/>
      <c r="L63" s="177">
        <f>ROUND((22*2*4.5)-(L28*6%),2)</f>
        <v>103.19</v>
      </c>
    </row>
    <row r="64" spans="2:17" ht="15" customHeight="1">
      <c r="B64" s="176" t="s">
        <v>83</v>
      </c>
      <c r="C64" s="509" t="s">
        <v>376</v>
      </c>
      <c r="D64" s="510"/>
      <c r="E64" s="510"/>
      <c r="F64" s="510"/>
      <c r="G64" s="510"/>
      <c r="H64" s="510"/>
      <c r="I64" s="510"/>
      <c r="J64" s="510"/>
      <c r="K64" s="511"/>
      <c r="L64" s="177">
        <f>ROUND((26*22)*(1-1%),2)</f>
        <v>566.28</v>
      </c>
    </row>
    <row r="65" spans="2:12" ht="15" customHeight="1">
      <c r="B65" s="64" t="s">
        <v>86</v>
      </c>
      <c r="C65" s="329" t="s">
        <v>364</v>
      </c>
      <c r="D65" s="492"/>
      <c r="E65" s="492"/>
      <c r="F65" s="492"/>
      <c r="G65" s="492"/>
      <c r="H65" s="492"/>
      <c r="I65" s="492"/>
      <c r="J65" s="492"/>
      <c r="K65" s="330"/>
      <c r="L65" s="178">
        <v>47.1</v>
      </c>
    </row>
    <row r="66" spans="2:12" ht="15" customHeight="1">
      <c r="B66" s="176" t="s">
        <v>88</v>
      </c>
      <c r="C66" s="138" t="s">
        <v>365</v>
      </c>
      <c r="D66" s="139"/>
      <c r="E66" s="139"/>
      <c r="F66" s="139"/>
      <c r="G66" s="139"/>
      <c r="H66" s="139"/>
      <c r="I66" s="139"/>
      <c r="J66" s="139"/>
      <c r="K66" s="179"/>
      <c r="L66" s="178">
        <v>0</v>
      </c>
    </row>
    <row r="67" spans="2:12" ht="15" customHeight="1">
      <c r="B67" s="176" t="s">
        <v>113</v>
      </c>
      <c r="C67" s="329" t="s">
        <v>359</v>
      </c>
      <c r="D67" s="492"/>
      <c r="E67" s="492"/>
      <c r="F67" s="492"/>
      <c r="G67" s="492"/>
      <c r="H67" s="492"/>
      <c r="I67" s="492"/>
      <c r="J67" s="492"/>
      <c r="K67" s="330"/>
      <c r="L67" s="178">
        <v>100</v>
      </c>
    </row>
    <row r="68" spans="2:12" ht="15" customHeight="1">
      <c r="B68" s="176" t="s">
        <v>122</v>
      </c>
      <c r="C68" s="138" t="s">
        <v>126</v>
      </c>
      <c r="D68" s="139"/>
      <c r="E68" s="139"/>
      <c r="F68" s="139"/>
      <c r="G68" s="139"/>
      <c r="H68" s="139"/>
      <c r="I68" s="139"/>
      <c r="J68" s="139"/>
      <c r="K68" s="179"/>
      <c r="L68" s="178">
        <v>0</v>
      </c>
    </row>
    <row r="69" spans="2:12">
      <c r="B69" s="512" t="s">
        <v>143</v>
      </c>
      <c r="C69" s="512"/>
      <c r="D69" s="512"/>
      <c r="E69" s="512"/>
      <c r="F69" s="512"/>
      <c r="G69" s="512"/>
      <c r="H69" s="512"/>
      <c r="I69" s="512"/>
      <c r="J69" s="512"/>
      <c r="K69" s="512"/>
      <c r="L69" s="171">
        <f>SUM(L63:L68)</f>
        <v>816.57</v>
      </c>
    </row>
    <row r="70" spans="2:12" hidden="1">
      <c r="B70" s="521" t="s">
        <v>530</v>
      </c>
      <c r="C70" s="521"/>
      <c r="D70" s="521"/>
      <c r="E70" s="521"/>
      <c r="F70" s="521"/>
      <c r="G70" s="521"/>
      <c r="H70" s="521"/>
      <c r="I70" s="521"/>
      <c r="J70" s="521"/>
      <c r="K70" s="521"/>
      <c r="L70" s="521"/>
    </row>
    <row r="71" spans="2:12" ht="13.5" hidden="1" customHeight="1">
      <c r="B71" s="522" t="s">
        <v>531</v>
      </c>
      <c r="C71" s="522"/>
      <c r="D71" s="522"/>
      <c r="E71" s="522"/>
      <c r="F71" s="522"/>
      <c r="G71" s="522"/>
      <c r="H71" s="522"/>
      <c r="I71" s="522"/>
      <c r="J71" s="522"/>
      <c r="K71" s="522"/>
      <c r="L71" s="522"/>
    </row>
    <row r="72" spans="2:12" ht="7.5" customHeight="1">
      <c r="B72" s="163"/>
      <c r="C72" s="163"/>
      <c r="D72" s="163"/>
      <c r="E72" s="163"/>
      <c r="F72" s="163"/>
      <c r="G72" s="164"/>
      <c r="H72" s="163"/>
      <c r="I72" s="164"/>
      <c r="J72" s="164"/>
      <c r="K72" s="165"/>
      <c r="L72" s="164"/>
    </row>
    <row r="73" spans="2:12" ht="15" customHeight="1">
      <c r="B73" s="499" t="s">
        <v>325</v>
      </c>
      <c r="C73" s="500"/>
      <c r="D73" s="500"/>
      <c r="E73" s="500"/>
      <c r="F73" s="500"/>
      <c r="G73" s="500"/>
      <c r="H73" s="500"/>
      <c r="I73" s="500"/>
      <c r="J73" s="500"/>
      <c r="K73" s="500"/>
      <c r="L73" s="501"/>
    </row>
    <row r="74" spans="2:12" ht="15" customHeight="1">
      <c r="B74" s="499" t="s">
        <v>320</v>
      </c>
      <c r="C74" s="500"/>
      <c r="D74" s="500"/>
      <c r="E74" s="500"/>
      <c r="F74" s="500"/>
      <c r="G74" s="500"/>
      <c r="H74" s="500"/>
      <c r="I74" s="500"/>
      <c r="J74" s="500"/>
      <c r="K74" s="500"/>
      <c r="L74" s="501"/>
    </row>
    <row r="75" spans="2:12" ht="15" customHeight="1">
      <c r="B75" s="64" t="s">
        <v>316</v>
      </c>
      <c r="C75" s="499" t="s">
        <v>356</v>
      </c>
      <c r="D75" s="500"/>
      <c r="E75" s="500"/>
      <c r="F75" s="500"/>
      <c r="G75" s="500"/>
      <c r="H75" s="500"/>
      <c r="I75" s="500"/>
      <c r="J75" s="500"/>
      <c r="K75" s="501"/>
      <c r="L75" s="167" t="s">
        <v>108</v>
      </c>
    </row>
    <row r="76" spans="2:12" ht="15" customHeight="1">
      <c r="B76" s="64" t="s">
        <v>316</v>
      </c>
      <c r="C76" s="329" t="s">
        <v>323</v>
      </c>
      <c r="D76" s="492"/>
      <c r="E76" s="492"/>
      <c r="F76" s="492"/>
      <c r="G76" s="492"/>
      <c r="H76" s="492"/>
      <c r="I76" s="492"/>
      <c r="J76" s="492"/>
      <c r="K76" s="330"/>
      <c r="L76" s="137">
        <f>L41</f>
        <v>322.83999999999997</v>
      </c>
    </row>
    <row r="77" spans="2:12" ht="15" customHeight="1">
      <c r="B77" s="176" t="s">
        <v>318</v>
      </c>
      <c r="C77" s="329" t="s">
        <v>322</v>
      </c>
      <c r="D77" s="492"/>
      <c r="E77" s="492"/>
      <c r="F77" s="492"/>
      <c r="G77" s="492"/>
      <c r="H77" s="492"/>
      <c r="I77" s="492"/>
      <c r="J77" s="492"/>
      <c r="K77" s="330"/>
      <c r="L77" s="180">
        <f>L56</f>
        <v>680.17</v>
      </c>
    </row>
    <row r="78" spans="2:12" ht="15" customHeight="1">
      <c r="B78" s="176" t="s">
        <v>321</v>
      </c>
      <c r="C78" s="509" t="s">
        <v>324</v>
      </c>
      <c r="D78" s="510"/>
      <c r="E78" s="510"/>
      <c r="F78" s="510"/>
      <c r="G78" s="510"/>
      <c r="H78" s="510"/>
      <c r="I78" s="510"/>
      <c r="J78" s="510"/>
      <c r="K78" s="511"/>
      <c r="L78" s="181">
        <f>L69</f>
        <v>816.57</v>
      </c>
    </row>
    <row r="79" spans="2:12" ht="15" customHeight="1">
      <c r="B79" s="499" t="s">
        <v>57</v>
      </c>
      <c r="C79" s="500"/>
      <c r="D79" s="500"/>
      <c r="E79" s="500"/>
      <c r="F79" s="500"/>
      <c r="G79" s="500"/>
      <c r="H79" s="500"/>
      <c r="I79" s="500"/>
      <c r="J79" s="500"/>
      <c r="K79" s="501"/>
      <c r="L79" s="171">
        <f>SUM(L76:L78)</f>
        <v>1819.58</v>
      </c>
    </row>
    <row r="80" spans="2:12" ht="7.5" customHeight="1">
      <c r="B80" s="163"/>
      <c r="C80" s="163"/>
      <c r="D80" s="163"/>
      <c r="E80" s="163"/>
      <c r="F80" s="163"/>
      <c r="G80" s="164"/>
      <c r="H80" s="163"/>
      <c r="I80" s="164"/>
      <c r="J80" s="164"/>
      <c r="K80" s="165"/>
      <c r="L80" s="164"/>
    </row>
    <row r="81" spans="2:15" ht="15" customHeight="1">
      <c r="B81" s="499" t="s">
        <v>369</v>
      </c>
      <c r="C81" s="500"/>
      <c r="D81" s="500"/>
      <c r="E81" s="500"/>
      <c r="F81" s="500"/>
      <c r="G81" s="500"/>
      <c r="H81" s="500"/>
      <c r="I81" s="500"/>
      <c r="J81" s="500"/>
      <c r="K81" s="500"/>
      <c r="L81" s="501"/>
    </row>
    <row r="82" spans="2:15" ht="15" customHeight="1">
      <c r="B82" s="499" t="s">
        <v>326</v>
      </c>
      <c r="C82" s="500"/>
      <c r="D82" s="500"/>
      <c r="E82" s="500"/>
      <c r="F82" s="500"/>
      <c r="G82" s="500"/>
      <c r="H82" s="500"/>
      <c r="I82" s="500"/>
      <c r="J82" s="500"/>
      <c r="K82" s="500"/>
      <c r="L82" s="501"/>
    </row>
    <row r="83" spans="2:15">
      <c r="B83" s="64">
        <v>3</v>
      </c>
      <c r="C83" s="499" t="s">
        <v>190</v>
      </c>
      <c r="D83" s="500"/>
      <c r="E83" s="500"/>
      <c r="F83" s="500"/>
      <c r="G83" s="500"/>
      <c r="H83" s="500"/>
      <c r="I83" s="500"/>
      <c r="J83" s="501"/>
      <c r="K83" s="172" t="s">
        <v>166</v>
      </c>
      <c r="L83" s="167" t="s">
        <v>108</v>
      </c>
    </row>
    <row r="84" spans="2:15" ht="15" customHeight="1">
      <c r="B84" s="64" t="s">
        <v>78</v>
      </c>
      <c r="C84" s="329" t="s">
        <v>192</v>
      </c>
      <c r="D84" s="492"/>
      <c r="E84" s="492"/>
      <c r="F84" s="492"/>
      <c r="G84" s="492"/>
      <c r="H84" s="492"/>
      <c r="I84" s="492"/>
      <c r="J84" s="330"/>
      <c r="K84" s="136">
        <v>4.1999999999999997E-3</v>
      </c>
      <c r="L84" s="137">
        <f>ROUND(K84*$L$34,2)</f>
        <v>6.64</v>
      </c>
      <c r="N84" s="182"/>
      <c r="O84" s="183"/>
    </row>
    <row r="85" spans="2:15" ht="15" customHeight="1">
      <c r="B85" s="64" t="s">
        <v>83</v>
      </c>
      <c r="C85" s="509" t="s">
        <v>193</v>
      </c>
      <c r="D85" s="510"/>
      <c r="E85" s="510"/>
      <c r="F85" s="510"/>
      <c r="G85" s="510"/>
      <c r="H85" s="510"/>
      <c r="I85" s="510"/>
      <c r="J85" s="511"/>
      <c r="K85" s="136">
        <v>2.9999999999999997E-4</v>
      </c>
      <c r="L85" s="137">
        <f t="shared" ref="L85:L89" si="2">ROUND(K85*$L$34,2)</f>
        <v>0.47</v>
      </c>
      <c r="N85" s="182"/>
      <c r="O85" s="183"/>
    </row>
    <row r="86" spans="2:15" ht="15" customHeight="1">
      <c r="B86" s="64" t="s">
        <v>86</v>
      </c>
      <c r="C86" s="329" t="s">
        <v>194</v>
      </c>
      <c r="D86" s="492"/>
      <c r="E86" s="492"/>
      <c r="F86" s="492"/>
      <c r="G86" s="492"/>
      <c r="H86" s="492"/>
      <c r="I86" s="492"/>
      <c r="J86" s="330"/>
      <c r="K86" s="136">
        <v>1.6999999999999999E-3</v>
      </c>
      <c r="L86" s="137">
        <f t="shared" si="2"/>
        <v>2.69</v>
      </c>
      <c r="N86" s="182"/>
      <c r="O86" s="183"/>
    </row>
    <row r="87" spans="2:15" ht="15" customHeight="1">
      <c r="B87" s="64" t="s">
        <v>88</v>
      </c>
      <c r="C87" s="523" t="s">
        <v>195</v>
      </c>
      <c r="D87" s="524"/>
      <c r="E87" s="524"/>
      <c r="F87" s="524"/>
      <c r="G87" s="524"/>
      <c r="H87" s="524"/>
      <c r="I87" s="524"/>
      <c r="J87" s="525"/>
      <c r="K87" s="173">
        <v>1.9400000000000001E-2</v>
      </c>
      <c r="L87" s="137">
        <f t="shared" si="2"/>
        <v>30.66</v>
      </c>
      <c r="N87" s="182"/>
      <c r="O87" s="183"/>
    </row>
    <row r="88" spans="2:15" ht="15" customHeight="1">
      <c r="B88" s="64" t="s">
        <v>113</v>
      </c>
      <c r="C88" s="509" t="s">
        <v>327</v>
      </c>
      <c r="D88" s="510"/>
      <c r="E88" s="510"/>
      <c r="F88" s="510"/>
      <c r="G88" s="510"/>
      <c r="H88" s="510"/>
      <c r="I88" s="510"/>
      <c r="J88" s="511"/>
      <c r="K88" s="136">
        <v>6.8999999999999999E-3</v>
      </c>
      <c r="L88" s="137">
        <f t="shared" si="2"/>
        <v>10.9</v>
      </c>
      <c r="N88" s="182"/>
      <c r="O88" s="183"/>
    </row>
    <row r="89" spans="2:15" ht="15" customHeight="1">
      <c r="B89" s="176" t="s">
        <v>116</v>
      </c>
      <c r="C89" s="329" t="s">
        <v>197</v>
      </c>
      <c r="D89" s="492"/>
      <c r="E89" s="492"/>
      <c r="F89" s="492"/>
      <c r="G89" s="492"/>
      <c r="H89" s="492"/>
      <c r="I89" s="492"/>
      <c r="J89" s="330"/>
      <c r="K89" s="136">
        <v>3.2000000000000001E-2</v>
      </c>
      <c r="L89" s="137">
        <f t="shared" si="2"/>
        <v>50.57</v>
      </c>
      <c r="N89" s="182"/>
      <c r="O89" s="183"/>
    </row>
    <row r="90" spans="2:15" ht="17.25" customHeight="1">
      <c r="B90" s="499" t="s">
        <v>57</v>
      </c>
      <c r="C90" s="500"/>
      <c r="D90" s="500"/>
      <c r="E90" s="500"/>
      <c r="F90" s="500"/>
      <c r="G90" s="500"/>
      <c r="H90" s="500"/>
      <c r="I90" s="500"/>
      <c r="J90" s="501"/>
      <c r="K90" s="173">
        <f>SUM(K84:K89)</f>
        <v>6.4500000000000002E-2</v>
      </c>
      <c r="L90" s="171">
        <f>SUM(L84:L89)</f>
        <v>101.93</v>
      </c>
      <c r="N90" s="182"/>
      <c r="O90" s="183"/>
    </row>
    <row r="91" spans="2:15" ht="38.25" hidden="1" customHeight="1">
      <c r="B91" s="518" t="s">
        <v>532</v>
      </c>
      <c r="C91" s="518"/>
      <c r="D91" s="518"/>
      <c r="E91" s="518"/>
      <c r="F91" s="518"/>
      <c r="G91" s="518"/>
      <c r="H91" s="518"/>
      <c r="I91" s="518"/>
      <c r="J91" s="518"/>
      <c r="K91" s="518"/>
      <c r="L91" s="518"/>
    </row>
    <row r="92" spans="2:15" ht="8.25" customHeight="1">
      <c r="B92" s="163"/>
      <c r="C92" s="163"/>
      <c r="D92" s="163"/>
      <c r="E92" s="163"/>
      <c r="F92" s="163"/>
      <c r="G92" s="164"/>
      <c r="H92" s="163"/>
      <c r="I92" s="164"/>
      <c r="J92" s="164"/>
      <c r="K92" s="165"/>
      <c r="L92" s="164"/>
    </row>
    <row r="93" spans="2:15" ht="15" customHeight="1">
      <c r="B93" s="512" t="s">
        <v>328</v>
      </c>
      <c r="C93" s="512"/>
      <c r="D93" s="512"/>
      <c r="E93" s="512"/>
      <c r="F93" s="512"/>
      <c r="G93" s="512"/>
      <c r="H93" s="512"/>
      <c r="I93" s="512"/>
      <c r="J93" s="512"/>
      <c r="K93" s="512"/>
      <c r="L93" s="512"/>
    </row>
    <row r="94" spans="2:15" ht="15" customHeight="1">
      <c r="B94" s="499" t="s">
        <v>370</v>
      </c>
      <c r="C94" s="500"/>
      <c r="D94" s="500"/>
      <c r="E94" s="500"/>
      <c r="F94" s="500"/>
      <c r="G94" s="500"/>
      <c r="H94" s="500"/>
      <c r="I94" s="500"/>
      <c r="J94" s="500"/>
      <c r="K94" s="500"/>
      <c r="L94" s="501"/>
    </row>
    <row r="95" spans="2:15" ht="15" customHeight="1">
      <c r="B95" s="64" t="s">
        <v>165</v>
      </c>
      <c r="C95" s="499" t="s">
        <v>332</v>
      </c>
      <c r="D95" s="500"/>
      <c r="E95" s="500"/>
      <c r="F95" s="500"/>
      <c r="G95" s="500"/>
      <c r="H95" s="500"/>
      <c r="I95" s="500"/>
      <c r="J95" s="501"/>
      <c r="K95" s="172" t="s">
        <v>166</v>
      </c>
      <c r="L95" s="167" t="s">
        <v>108</v>
      </c>
    </row>
    <row r="96" spans="2:15" ht="15" customHeight="1">
      <c r="B96" s="64" t="s">
        <v>78</v>
      </c>
      <c r="C96" s="329" t="s">
        <v>477</v>
      </c>
      <c r="D96" s="492"/>
      <c r="E96" s="492"/>
      <c r="F96" s="492"/>
      <c r="G96" s="492"/>
      <c r="H96" s="492"/>
      <c r="I96" s="492"/>
      <c r="J96" s="330"/>
      <c r="K96" s="136">
        <v>9.2999999999999992E-3</v>
      </c>
      <c r="L96" s="184">
        <f>ROUND(K96*$L$34,2)</f>
        <v>14.7</v>
      </c>
    </row>
    <row r="97" spans="2:13" ht="15" customHeight="1">
      <c r="B97" s="64" t="s">
        <v>83</v>
      </c>
      <c r="C97" s="509" t="s">
        <v>207</v>
      </c>
      <c r="D97" s="510"/>
      <c r="E97" s="510"/>
      <c r="F97" s="510"/>
      <c r="G97" s="510"/>
      <c r="H97" s="510"/>
      <c r="I97" s="510"/>
      <c r="J97" s="511"/>
      <c r="K97" s="136">
        <v>5.0000000000000001E-4</v>
      </c>
      <c r="L97" s="184">
        <f t="shared" ref="L97:L102" si="3">ROUND(K97*$L$34,2)</f>
        <v>0.79</v>
      </c>
    </row>
    <row r="98" spans="2:13" ht="15" customHeight="1">
      <c r="B98" s="64" t="s">
        <v>86</v>
      </c>
      <c r="C98" s="329" t="s">
        <v>478</v>
      </c>
      <c r="D98" s="492"/>
      <c r="E98" s="492"/>
      <c r="F98" s="492"/>
      <c r="G98" s="492"/>
      <c r="H98" s="492"/>
      <c r="I98" s="492"/>
      <c r="J98" s="330"/>
      <c r="K98" s="136">
        <v>5.0000000000000001E-4</v>
      </c>
      <c r="L98" s="184">
        <f t="shared" si="3"/>
        <v>0.79</v>
      </c>
    </row>
    <row r="99" spans="2:13" ht="15" customHeight="1">
      <c r="B99" s="64" t="s">
        <v>88</v>
      </c>
      <c r="C99" s="329" t="s">
        <v>479</v>
      </c>
      <c r="D99" s="492"/>
      <c r="E99" s="492"/>
      <c r="F99" s="492"/>
      <c r="G99" s="492"/>
      <c r="H99" s="492"/>
      <c r="I99" s="492"/>
      <c r="J99" s="330"/>
      <c r="K99" s="136">
        <v>5.0000000000000001E-4</v>
      </c>
      <c r="L99" s="184">
        <f t="shared" si="3"/>
        <v>0.79</v>
      </c>
    </row>
    <row r="100" spans="2:13" ht="15" customHeight="1">
      <c r="B100" s="64" t="s">
        <v>113</v>
      </c>
      <c r="C100" s="329" t="s">
        <v>480</v>
      </c>
      <c r="D100" s="492"/>
      <c r="E100" s="492"/>
      <c r="F100" s="492"/>
      <c r="G100" s="492"/>
      <c r="H100" s="492"/>
      <c r="I100" s="492"/>
      <c r="J100" s="330"/>
      <c r="K100" s="136">
        <v>5.0000000000000001E-4</v>
      </c>
      <c r="L100" s="184">
        <f t="shared" si="3"/>
        <v>0.79</v>
      </c>
    </row>
    <row r="101" spans="2:13" ht="15" customHeight="1">
      <c r="B101" s="176" t="s">
        <v>116</v>
      </c>
      <c r="C101" s="329" t="s">
        <v>368</v>
      </c>
      <c r="D101" s="492"/>
      <c r="E101" s="492"/>
      <c r="F101" s="492"/>
      <c r="G101" s="492"/>
      <c r="H101" s="492"/>
      <c r="I101" s="492"/>
      <c r="J101" s="330"/>
      <c r="K101" s="136">
        <v>0</v>
      </c>
      <c r="L101" s="184">
        <f t="shared" si="3"/>
        <v>0</v>
      </c>
    </row>
    <row r="102" spans="2:13" ht="15" customHeight="1">
      <c r="B102" s="499" t="s">
        <v>183</v>
      </c>
      <c r="C102" s="500"/>
      <c r="D102" s="500"/>
      <c r="E102" s="500"/>
      <c r="F102" s="500"/>
      <c r="G102" s="500"/>
      <c r="H102" s="500"/>
      <c r="I102" s="500"/>
      <c r="J102" s="501"/>
      <c r="K102" s="173">
        <f>SUM(K96:K101)</f>
        <v>1.1299999999999999E-2</v>
      </c>
      <c r="L102" s="171">
        <f t="shared" si="3"/>
        <v>17.86</v>
      </c>
      <c r="M102" s="185"/>
    </row>
    <row r="103" spans="2:13" ht="22.5" hidden="1" customHeight="1">
      <c r="B103" s="526" t="s">
        <v>333</v>
      </c>
      <c r="C103" s="526"/>
      <c r="D103" s="526"/>
      <c r="E103" s="526"/>
      <c r="F103" s="526"/>
      <c r="G103" s="526"/>
      <c r="H103" s="526"/>
      <c r="I103" s="526"/>
      <c r="J103" s="526"/>
      <c r="K103" s="526"/>
      <c r="L103" s="526"/>
    </row>
    <row r="104" spans="2:13" ht="7.5" customHeight="1">
      <c r="B104" s="163"/>
      <c r="C104" s="163"/>
      <c r="D104" s="163"/>
      <c r="E104" s="163"/>
      <c r="F104" s="163"/>
      <c r="G104" s="164"/>
      <c r="H104" s="163"/>
      <c r="I104" s="164"/>
      <c r="J104" s="164"/>
      <c r="K104" s="165"/>
      <c r="L104" s="164"/>
    </row>
    <row r="105" spans="2:13" ht="15" customHeight="1">
      <c r="B105" s="512" t="s">
        <v>371</v>
      </c>
      <c r="C105" s="512"/>
      <c r="D105" s="512"/>
      <c r="E105" s="512"/>
      <c r="F105" s="512"/>
      <c r="G105" s="512"/>
      <c r="H105" s="512"/>
      <c r="I105" s="512"/>
      <c r="J105" s="512"/>
      <c r="K105" s="512"/>
      <c r="L105" s="512"/>
    </row>
    <row r="106" spans="2:13" ht="15" customHeight="1">
      <c r="B106" s="64" t="s">
        <v>179</v>
      </c>
      <c r="C106" s="499" t="s">
        <v>329</v>
      </c>
      <c r="D106" s="500"/>
      <c r="E106" s="500"/>
      <c r="F106" s="500"/>
      <c r="G106" s="500"/>
      <c r="H106" s="500"/>
      <c r="I106" s="500"/>
      <c r="J106" s="500"/>
      <c r="K106" s="501"/>
      <c r="L106" s="167" t="s">
        <v>108</v>
      </c>
    </row>
    <row r="107" spans="2:13" ht="18" customHeight="1">
      <c r="B107" s="176" t="s">
        <v>78</v>
      </c>
      <c r="C107" s="509" t="s">
        <v>372</v>
      </c>
      <c r="D107" s="510"/>
      <c r="E107" s="510"/>
      <c r="F107" s="510"/>
      <c r="G107" s="510"/>
      <c r="H107" s="510"/>
      <c r="I107" s="510"/>
      <c r="J107" s="510"/>
      <c r="K107" s="511"/>
      <c r="L107" s="186">
        <f>(((L28+L29+L30+L31)/220)+((L28+L29+L30+L31)/220)*50%)*22*0</f>
        <v>0</v>
      </c>
    </row>
    <row r="108" spans="2:13" ht="15" customHeight="1">
      <c r="B108" s="499" t="s">
        <v>57</v>
      </c>
      <c r="C108" s="500"/>
      <c r="D108" s="500"/>
      <c r="E108" s="500"/>
      <c r="F108" s="500"/>
      <c r="G108" s="500"/>
      <c r="H108" s="500"/>
      <c r="I108" s="500"/>
      <c r="J108" s="500"/>
      <c r="K108" s="501"/>
      <c r="L108" s="171">
        <f>SUM(L106:L107)</f>
        <v>0</v>
      </c>
    </row>
    <row r="109" spans="2:13" ht="6" customHeight="1"/>
    <row r="110" spans="2:13" ht="27" hidden="1" customHeight="1">
      <c r="B110" s="190" t="s">
        <v>145</v>
      </c>
      <c r="C110" s="191"/>
      <c r="D110" s="191"/>
      <c r="E110" s="191"/>
      <c r="F110" s="191"/>
      <c r="G110" s="509" t="s">
        <v>198</v>
      </c>
      <c r="H110" s="510"/>
      <c r="I110" s="510"/>
      <c r="J110" s="510"/>
      <c r="K110" s="510"/>
      <c r="L110" s="511"/>
    </row>
    <row r="111" spans="2:13" ht="24.75" hidden="1" customHeight="1">
      <c r="B111" s="190" t="s">
        <v>148</v>
      </c>
      <c r="C111" s="191"/>
      <c r="D111" s="191"/>
      <c r="E111" s="191"/>
      <c r="F111" s="191"/>
      <c r="G111" s="509" t="s">
        <v>199</v>
      </c>
      <c r="H111" s="510"/>
      <c r="I111" s="510"/>
      <c r="J111" s="510"/>
      <c r="K111" s="510"/>
      <c r="L111" s="511"/>
    </row>
    <row r="112" spans="2:13" ht="6" customHeight="1"/>
    <row r="113" spans="2:12" ht="16.5" customHeight="1">
      <c r="B113" s="502" t="s">
        <v>533</v>
      </c>
      <c r="C113" s="503"/>
      <c r="D113" s="503"/>
      <c r="E113" s="503"/>
      <c r="F113" s="503"/>
      <c r="G113" s="503"/>
      <c r="H113" s="503"/>
      <c r="I113" s="503"/>
      <c r="J113" s="503"/>
      <c r="K113" s="503"/>
      <c r="L113" s="504"/>
    </row>
    <row r="114" spans="2:12" ht="15" customHeight="1">
      <c r="B114" s="499" t="s">
        <v>330</v>
      </c>
      <c r="C114" s="500"/>
      <c r="D114" s="500"/>
      <c r="E114" s="500"/>
      <c r="F114" s="500"/>
      <c r="G114" s="500"/>
      <c r="H114" s="500"/>
      <c r="I114" s="500"/>
      <c r="J114" s="500"/>
      <c r="K114" s="500"/>
      <c r="L114" s="501"/>
    </row>
    <row r="115" spans="2:12" ht="15" customHeight="1">
      <c r="B115" s="64" t="s">
        <v>165</v>
      </c>
      <c r="C115" s="499" t="s">
        <v>331</v>
      </c>
      <c r="D115" s="500"/>
      <c r="E115" s="500"/>
      <c r="F115" s="500"/>
      <c r="G115" s="500"/>
      <c r="H115" s="500"/>
      <c r="I115" s="500"/>
      <c r="J115" s="500"/>
      <c r="K115" s="501"/>
      <c r="L115" s="167" t="s">
        <v>108</v>
      </c>
    </row>
    <row r="116" spans="2:12" ht="15" customHeight="1">
      <c r="B116" s="64" t="s">
        <v>165</v>
      </c>
      <c r="C116" s="329" t="s">
        <v>367</v>
      </c>
      <c r="D116" s="492"/>
      <c r="E116" s="492"/>
      <c r="F116" s="492"/>
      <c r="G116" s="492"/>
      <c r="H116" s="492"/>
      <c r="I116" s="492"/>
      <c r="J116" s="492"/>
      <c r="K116" s="330"/>
      <c r="L116" s="137">
        <f>L102</f>
        <v>17.86</v>
      </c>
    </row>
    <row r="117" spans="2:12" ht="15" customHeight="1">
      <c r="B117" s="176" t="s">
        <v>179</v>
      </c>
      <c r="C117" s="329" t="s">
        <v>373</v>
      </c>
      <c r="D117" s="492"/>
      <c r="E117" s="492"/>
      <c r="F117" s="492"/>
      <c r="G117" s="492"/>
      <c r="H117" s="492"/>
      <c r="I117" s="492"/>
      <c r="J117" s="492"/>
      <c r="K117" s="330"/>
      <c r="L117" s="180">
        <f>L108</f>
        <v>0</v>
      </c>
    </row>
    <row r="118" spans="2:12" ht="15" customHeight="1">
      <c r="B118" s="499" t="s">
        <v>57</v>
      </c>
      <c r="C118" s="500"/>
      <c r="D118" s="500"/>
      <c r="E118" s="500"/>
      <c r="F118" s="500"/>
      <c r="G118" s="500"/>
      <c r="H118" s="500"/>
      <c r="I118" s="500"/>
      <c r="J118" s="500"/>
      <c r="K118" s="501"/>
      <c r="L118" s="171">
        <f>SUM(L116:L117)</f>
        <v>17.86</v>
      </c>
    </row>
    <row r="119" spans="2:12" ht="15" customHeight="1">
      <c r="B119" s="512" t="s">
        <v>328</v>
      </c>
      <c r="C119" s="512"/>
      <c r="D119" s="512"/>
      <c r="E119" s="512"/>
      <c r="F119" s="512"/>
      <c r="G119" s="512"/>
      <c r="H119" s="512"/>
      <c r="I119" s="512"/>
      <c r="J119" s="512"/>
      <c r="K119" s="512"/>
      <c r="L119" s="512"/>
    </row>
    <row r="120" spans="2:12" ht="8.25" customHeight="1"/>
    <row r="121" spans="2:12" ht="14.25" customHeight="1">
      <c r="B121" s="499" t="s">
        <v>335</v>
      </c>
      <c r="C121" s="500"/>
      <c r="D121" s="500"/>
      <c r="E121" s="500"/>
      <c r="F121" s="500"/>
      <c r="G121" s="500"/>
      <c r="H121" s="500"/>
      <c r="I121" s="500"/>
      <c r="J121" s="500"/>
      <c r="K121" s="500"/>
      <c r="L121" s="501"/>
    </row>
    <row r="122" spans="2:12" ht="15" customHeight="1">
      <c r="B122" s="64" t="s">
        <v>336</v>
      </c>
      <c r="C122" s="499" t="s">
        <v>155</v>
      </c>
      <c r="D122" s="500"/>
      <c r="E122" s="500"/>
      <c r="F122" s="500"/>
      <c r="G122" s="500"/>
      <c r="H122" s="500"/>
      <c r="I122" s="500"/>
      <c r="J122" s="500"/>
      <c r="K122" s="501"/>
      <c r="L122" s="167" t="s">
        <v>108</v>
      </c>
    </row>
    <row r="123" spans="2:12" ht="15" customHeight="1">
      <c r="B123" s="64" t="s">
        <v>78</v>
      </c>
      <c r="C123" s="329" t="s">
        <v>156</v>
      </c>
      <c r="D123" s="492"/>
      <c r="E123" s="492"/>
      <c r="F123" s="492"/>
      <c r="G123" s="492"/>
      <c r="H123" s="492"/>
      <c r="I123" s="492"/>
      <c r="J123" s="492"/>
      <c r="K123" s="330"/>
      <c r="L123" s="137">
        <v>224.78</v>
      </c>
    </row>
    <row r="124" spans="2:12" ht="15" customHeight="1">
      <c r="B124" s="64" t="s">
        <v>83</v>
      </c>
      <c r="C124" s="329" t="s">
        <v>337</v>
      </c>
      <c r="D124" s="492"/>
      <c r="E124" s="492"/>
      <c r="F124" s="492"/>
      <c r="G124" s="492"/>
      <c r="H124" s="492"/>
      <c r="I124" s="492"/>
      <c r="J124" s="492"/>
      <c r="K124" s="330"/>
      <c r="L124" s="137"/>
    </row>
    <row r="125" spans="2:12" ht="15" customHeight="1">
      <c r="B125" s="64" t="s">
        <v>86</v>
      </c>
      <c r="C125" s="329" t="s">
        <v>158</v>
      </c>
      <c r="D125" s="492"/>
      <c r="E125" s="492"/>
      <c r="F125" s="492"/>
      <c r="G125" s="492"/>
      <c r="H125" s="492"/>
      <c r="I125" s="492"/>
      <c r="J125" s="492"/>
      <c r="K125" s="330"/>
      <c r="L125" s="137">
        <v>0</v>
      </c>
    </row>
    <row r="126" spans="2:12" ht="15" customHeight="1">
      <c r="B126" s="176" t="s">
        <v>116</v>
      </c>
      <c r="C126" s="509" t="s">
        <v>141</v>
      </c>
      <c r="D126" s="510"/>
      <c r="E126" s="510"/>
      <c r="F126" s="510"/>
      <c r="G126" s="510"/>
      <c r="H126" s="510"/>
      <c r="I126" s="510"/>
      <c r="J126" s="510"/>
      <c r="K126" s="511"/>
      <c r="L126" s="192">
        <v>0</v>
      </c>
    </row>
    <row r="127" spans="2:12" ht="15" customHeight="1">
      <c r="B127" s="512" t="s">
        <v>159</v>
      </c>
      <c r="C127" s="512"/>
      <c r="D127" s="512"/>
      <c r="E127" s="512"/>
      <c r="F127" s="512"/>
      <c r="G127" s="512"/>
      <c r="H127" s="512"/>
      <c r="I127" s="512"/>
      <c r="J127" s="512"/>
      <c r="K127" s="512"/>
      <c r="L127" s="171">
        <f>SUM(L123:L126)</f>
        <v>224.78</v>
      </c>
    </row>
    <row r="128" spans="2:12" hidden="1">
      <c r="B128" s="531" t="s">
        <v>534</v>
      </c>
      <c r="C128" s="531"/>
      <c r="D128" s="531"/>
      <c r="E128" s="531"/>
      <c r="F128" s="531"/>
      <c r="G128" s="531"/>
      <c r="H128" s="531"/>
      <c r="I128" s="531"/>
      <c r="J128" s="531"/>
      <c r="K128" s="531"/>
      <c r="L128" s="531"/>
    </row>
    <row r="130" spans="2:14" ht="15" customHeight="1">
      <c r="B130" s="499" t="s">
        <v>338</v>
      </c>
      <c r="C130" s="500"/>
      <c r="D130" s="500"/>
      <c r="E130" s="500"/>
      <c r="F130" s="500"/>
      <c r="G130" s="500"/>
      <c r="H130" s="500"/>
      <c r="I130" s="500"/>
      <c r="J130" s="500"/>
      <c r="K130" s="500"/>
      <c r="L130" s="501"/>
    </row>
    <row r="131" spans="2:14" ht="15" customHeight="1">
      <c r="B131" s="64">
        <v>5</v>
      </c>
      <c r="C131" s="499" t="s">
        <v>216</v>
      </c>
      <c r="D131" s="500"/>
      <c r="E131" s="500"/>
      <c r="F131" s="500"/>
      <c r="G131" s="500"/>
      <c r="H131" s="500"/>
      <c r="I131" s="500"/>
      <c r="J131" s="501"/>
      <c r="K131" s="172" t="s">
        <v>166</v>
      </c>
      <c r="L131" s="167" t="s">
        <v>108</v>
      </c>
    </row>
    <row r="132" spans="2:14" ht="15" customHeight="1">
      <c r="B132" s="64" t="s">
        <v>78</v>
      </c>
      <c r="C132" s="329" t="s">
        <v>217</v>
      </c>
      <c r="D132" s="492"/>
      <c r="E132" s="492"/>
      <c r="F132" s="492"/>
      <c r="G132" s="492"/>
      <c r="H132" s="492"/>
      <c r="I132" s="492"/>
      <c r="J132" s="330"/>
      <c r="K132" s="168">
        <v>0.05</v>
      </c>
      <c r="L132" s="137">
        <f>ROUND(K132*L152,2)</f>
        <v>187.22</v>
      </c>
    </row>
    <row r="133" spans="2:14" ht="15" customHeight="1">
      <c r="B133" s="64" t="s">
        <v>83</v>
      </c>
      <c r="C133" s="329" t="s">
        <v>218</v>
      </c>
      <c r="D133" s="492"/>
      <c r="E133" s="492"/>
      <c r="F133" s="492"/>
      <c r="G133" s="492"/>
      <c r="H133" s="492"/>
      <c r="I133" s="492"/>
      <c r="J133" s="330"/>
      <c r="K133" s="168">
        <v>0.05</v>
      </c>
      <c r="L133" s="137">
        <f>ROUND((L132+L152)*K133,2)</f>
        <v>196.58</v>
      </c>
    </row>
    <row r="134" spans="2:14" ht="15" customHeight="1">
      <c r="B134" s="502" t="s">
        <v>219</v>
      </c>
      <c r="C134" s="503"/>
      <c r="D134" s="503"/>
      <c r="E134" s="503"/>
      <c r="F134" s="503"/>
      <c r="G134" s="503"/>
      <c r="H134" s="503"/>
      <c r="I134" s="503"/>
      <c r="J134" s="504"/>
      <c r="K134" s="173"/>
      <c r="L134" s="171">
        <f>SUM(L132:L133)</f>
        <v>383.8</v>
      </c>
    </row>
    <row r="135" spans="2:14" ht="15" customHeight="1">
      <c r="B135" s="527" t="s">
        <v>86</v>
      </c>
      <c r="C135" s="512" t="s">
        <v>220</v>
      </c>
      <c r="D135" s="512"/>
      <c r="E135" s="512"/>
      <c r="F135" s="512"/>
      <c r="G135" s="512"/>
      <c r="H135" s="512"/>
      <c r="I135" s="512"/>
      <c r="J135" s="512"/>
      <c r="K135" s="512"/>
      <c r="L135" s="512"/>
    </row>
    <row r="136" spans="2:14" ht="15" customHeight="1">
      <c r="B136" s="528"/>
      <c r="C136" s="530" t="s">
        <v>360</v>
      </c>
      <c r="D136" s="530"/>
      <c r="E136" s="530"/>
      <c r="F136" s="530"/>
      <c r="G136" s="530"/>
      <c r="H136" s="530"/>
      <c r="I136" s="530"/>
      <c r="J136" s="193" t="s">
        <v>222</v>
      </c>
      <c r="K136" s="136">
        <v>0.03</v>
      </c>
      <c r="L136" s="137">
        <f>((L152+L132+L133)/(1-(K136+K137+K138))*K136)</f>
        <v>135.57</v>
      </c>
    </row>
    <row r="137" spans="2:14" ht="15" customHeight="1">
      <c r="B137" s="528"/>
      <c r="C137" s="530"/>
      <c r="D137" s="530"/>
      <c r="E137" s="530"/>
      <c r="F137" s="530"/>
      <c r="G137" s="530"/>
      <c r="H137" s="530"/>
      <c r="I137" s="530"/>
      <c r="J137" s="193" t="s">
        <v>223</v>
      </c>
      <c r="K137" s="136">
        <v>6.4999999999999997E-3</v>
      </c>
      <c r="L137" s="137">
        <f>((L152+L132+L133)/(1-(K136+K137+K138))*K137)</f>
        <v>29.37</v>
      </c>
    </row>
    <row r="138" spans="2:14" ht="15" customHeight="1">
      <c r="B138" s="528"/>
      <c r="C138" s="530" t="s">
        <v>361</v>
      </c>
      <c r="D138" s="530"/>
      <c r="E138" s="530"/>
      <c r="F138" s="530"/>
      <c r="G138" s="530"/>
      <c r="H138" s="530"/>
      <c r="I138" s="530"/>
      <c r="J138" s="193" t="s">
        <v>225</v>
      </c>
      <c r="K138" s="136">
        <v>0.05</v>
      </c>
      <c r="L138" s="137">
        <f>((L152+L132+L133)/(1-(K136+K137+K138))*K138)</f>
        <v>225.95</v>
      </c>
    </row>
    <row r="139" spans="2:14" ht="15" customHeight="1">
      <c r="B139" s="529"/>
      <c r="C139" s="530" t="s">
        <v>362</v>
      </c>
      <c r="D139" s="530"/>
      <c r="E139" s="530"/>
      <c r="F139" s="530"/>
      <c r="G139" s="530"/>
      <c r="H139" s="530"/>
      <c r="I139" s="530"/>
      <c r="J139" s="193"/>
      <c r="K139" s="136">
        <v>0</v>
      </c>
      <c r="L139" s="137">
        <f t="shared" ref="L139" si="4">ROUND(($L$152+$L$132+$L$133)/(1-K143)*K139,2)</f>
        <v>0</v>
      </c>
    </row>
    <row r="140" spans="2:14" ht="15" customHeight="1">
      <c r="B140" s="502" t="s">
        <v>227</v>
      </c>
      <c r="C140" s="503"/>
      <c r="D140" s="503"/>
      <c r="E140" s="503"/>
      <c r="F140" s="503"/>
      <c r="G140" s="503"/>
      <c r="H140" s="503"/>
      <c r="I140" s="504"/>
      <c r="J140" s="194"/>
      <c r="K140" s="173">
        <f>SUM(K136:K139)</f>
        <v>8.6499999999999994E-2</v>
      </c>
      <c r="L140" s="171">
        <f>SUM(L136:L139)</f>
        <v>390.89</v>
      </c>
    </row>
    <row r="141" spans="2:14">
      <c r="B141" s="512" t="s">
        <v>57</v>
      </c>
      <c r="C141" s="512"/>
      <c r="D141" s="512"/>
      <c r="E141" s="512"/>
      <c r="F141" s="512"/>
      <c r="G141" s="512"/>
      <c r="H141" s="512"/>
      <c r="I141" s="512"/>
      <c r="J141" s="64"/>
      <c r="K141" s="173">
        <f>K134+K140</f>
        <v>8.6499999999999994E-2</v>
      </c>
      <c r="L141" s="174">
        <f>SUM(L140,L134)</f>
        <v>774.69</v>
      </c>
    </row>
    <row r="142" spans="2:14" ht="12" hidden="1" customHeight="1">
      <c r="B142" s="532" t="s">
        <v>535</v>
      </c>
      <c r="C142" s="532"/>
      <c r="D142" s="532"/>
      <c r="E142" s="532"/>
      <c r="F142" s="532"/>
      <c r="G142" s="532"/>
      <c r="H142" s="532"/>
      <c r="I142" s="532"/>
      <c r="J142" s="532"/>
      <c r="K142" s="532"/>
      <c r="L142" s="532"/>
    </row>
    <row r="143" spans="2:14" ht="12" hidden="1" customHeight="1">
      <c r="B143" s="533" t="s">
        <v>536</v>
      </c>
      <c r="C143" s="533"/>
      <c r="D143" s="533"/>
      <c r="E143" s="533"/>
      <c r="F143" s="533"/>
      <c r="G143" s="533"/>
      <c r="H143" s="533"/>
      <c r="I143" s="533"/>
      <c r="J143" s="533"/>
      <c r="K143" s="533"/>
      <c r="L143" s="533"/>
    </row>
    <row r="144" spans="2:14" ht="15" customHeight="1">
      <c r="N144" s="195"/>
    </row>
    <row r="145" spans="2:15" ht="15" customHeight="1">
      <c r="B145" s="499" t="s">
        <v>339</v>
      </c>
      <c r="C145" s="500"/>
      <c r="D145" s="500"/>
      <c r="E145" s="500"/>
      <c r="F145" s="500"/>
      <c r="G145" s="500"/>
      <c r="H145" s="500"/>
      <c r="I145" s="500"/>
      <c r="J145" s="500"/>
      <c r="K145" s="500"/>
      <c r="L145" s="501"/>
    </row>
    <row r="146" spans="2:15" ht="15" customHeight="1">
      <c r="B146" s="494" t="s">
        <v>233</v>
      </c>
      <c r="C146" s="505"/>
      <c r="D146" s="505"/>
      <c r="E146" s="505"/>
      <c r="F146" s="505"/>
      <c r="G146" s="505"/>
      <c r="H146" s="505"/>
      <c r="I146" s="505"/>
      <c r="J146" s="505"/>
      <c r="K146" s="495"/>
      <c r="L146" s="167" t="s">
        <v>234</v>
      </c>
      <c r="O146" s="195"/>
    </row>
    <row r="147" spans="2:15" ht="15" customHeight="1">
      <c r="B147" s="64" t="s">
        <v>78</v>
      </c>
      <c r="C147" s="329" t="s">
        <v>235</v>
      </c>
      <c r="D147" s="492"/>
      <c r="E147" s="492"/>
      <c r="F147" s="492"/>
      <c r="G147" s="492"/>
      <c r="H147" s="492"/>
      <c r="I147" s="492"/>
      <c r="J147" s="492"/>
      <c r="K147" s="330"/>
      <c r="L147" s="137">
        <f>L34</f>
        <v>1580.23</v>
      </c>
    </row>
    <row r="148" spans="2:15" ht="15" customHeight="1">
      <c r="B148" s="64" t="s">
        <v>83</v>
      </c>
      <c r="C148" s="329" t="s">
        <v>340</v>
      </c>
      <c r="D148" s="492"/>
      <c r="E148" s="492"/>
      <c r="F148" s="492"/>
      <c r="G148" s="492"/>
      <c r="H148" s="492"/>
      <c r="I148" s="492"/>
      <c r="J148" s="492"/>
      <c r="K148" s="330"/>
      <c r="L148" s="137">
        <f>L79</f>
        <v>1819.58</v>
      </c>
    </row>
    <row r="149" spans="2:15" ht="15" customHeight="1">
      <c r="B149" s="64" t="s">
        <v>88</v>
      </c>
      <c r="C149" s="329" t="s">
        <v>341</v>
      </c>
      <c r="D149" s="492"/>
      <c r="E149" s="492"/>
      <c r="F149" s="492"/>
      <c r="G149" s="492"/>
      <c r="H149" s="492"/>
      <c r="I149" s="492"/>
      <c r="J149" s="492"/>
      <c r="K149" s="330"/>
      <c r="L149" s="137">
        <f>L90</f>
        <v>101.93</v>
      </c>
    </row>
    <row r="150" spans="2:15" ht="15" customHeight="1">
      <c r="B150" s="64" t="s">
        <v>86</v>
      </c>
      <c r="C150" s="329" t="s">
        <v>328</v>
      </c>
      <c r="D150" s="492"/>
      <c r="E150" s="492"/>
      <c r="F150" s="492"/>
      <c r="G150" s="492"/>
      <c r="H150" s="492"/>
      <c r="I150" s="492"/>
      <c r="J150" s="492"/>
      <c r="K150" s="330"/>
      <c r="L150" s="137">
        <f>L118</f>
        <v>17.86</v>
      </c>
    </row>
    <row r="151" spans="2:15" ht="15" customHeight="1">
      <c r="B151" s="64" t="s">
        <v>88</v>
      </c>
      <c r="C151" s="329" t="s">
        <v>342</v>
      </c>
      <c r="D151" s="492"/>
      <c r="E151" s="492"/>
      <c r="F151" s="492"/>
      <c r="G151" s="492"/>
      <c r="H151" s="492"/>
      <c r="I151" s="492"/>
      <c r="J151" s="492"/>
      <c r="K151" s="330"/>
      <c r="L151" s="137">
        <f>L127</f>
        <v>224.78</v>
      </c>
    </row>
    <row r="152" spans="2:15" ht="15" customHeight="1">
      <c r="B152" s="499" t="s">
        <v>343</v>
      </c>
      <c r="C152" s="500"/>
      <c r="D152" s="500"/>
      <c r="E152" s="500"/>
      <c r="F152" s="500"/>
      <c r="G152" s="500"/>
      <c r="H152" s="500"/>
      <c r="I152" s="500"/>
      <c r="J152" s="500"/>
      <c r="K152" s="501"/>
      <c r="L152" s="171">
        <f>SUM(L147:L151)</f>
        <v>3744.38</v>
      </c>
    </row>
    <row r="153" spans="2:15" ht="15" customHeight="1">
      <c r="B153" s="64" t="s">
        <v>113</v>
      </c>
      <c r="C153" s="329" t="s">
        <v>344</v>
      </c>
      <c r="D153" s="492"/>
      <c r="E153" s="492"/>
      <c r="F153" s="492"/>
      <c r="G153" s="492"/>
      <c r="H153" s="492"/>
      <c r="I153" s="492"/>
      <c r="J153" s="492"/>
      <c r="K153" s="330"/>
      <c r="L153" s="137">
        <f>L141</f>
        <v>774.69</v>
      </c>
    </row>
    <row r="154" spans="2:15" ht="15" customHeight="1">
      <c r="B154" s="499" t="s">
        <v>363</v>
      </c>
      <c r="C154" s="500"/>
      <c r="D154" s="500"/>
      <c r="E154" s="500"/>
      <c r="F154" s="500"/>
      <c r="G154" s="500"/>
      <c r="H154" s="500"/>
      <c r="I154" s="500"/>
      <c r="J154" s="500"/>
      <c r="K154" s="501"/>
      <c r="L154" s="171">
        <f>SUM(L152:L153)-0.02</f>
        <v>4519.05</v>
      </c>
      <c r="M154" s="196"/>
    </row>
    <row r="155" spans="2:15" ht="15" customHeight="1">
      <c r="B155" s="499"/>
      <c r="C155" s="500"/>
      <c r="D155" s="500"/>
      <c r="E155" s="500"/>
      <c r="F155" s="500"/>
      <c r="G155" s="500"/>
      <c r="H155" s="500"/>
      <c r="I155" s="500"/>
      <c r="J155" s="500"/>
      <c r="K155" s="501"/>
      <c r="L155" s="171"/>
    </row>
    <row r="156" spans="2:15" ht="15" customHeight="1">
      <c r="B156" s="499" t="s">
        <v>355</v>
      </c>
      <c r="C156" s="500"/>
      <c r="D156" s="500"/>
      <c r="E156" s="500"/>
      <c r="F156" s="500"/>
      <c r="G156" s="500"/>
      <c r="H156" s="500"/>
      <c r="I156" s="500"/>
      <c r="J156" s="500"/>
      <c r="K156" s="500"/>
      <c r="L156" s="501"/>
    </row>
    <row r="157" spans="2:15" ht="67.5" customHeight="1">
      <c r="B157" s="534" t="s">
        <v>345</v>
      </c>
      <c r="C157" s="535"/>
      <c r="D157" s="535"/>
      <c r="E157" s="535"/>
      <c r="F157" s="536"/>
      <c r="G157" s="534" t="s">
        <v>346</v>
      </c>
      <c r="H157" s="536"/>
      <c r="I157" s="197" t="s">
        <v>379</v>
      </c>
      <c r="J157" s="197" t="s">
        <v>347</v>
      </c>
      <c r="K157" s="198" t="s">
        <v>348</v>
      </c>
      <c r="L157" s="199" t="s">
        <v>349</v>
      </c>
      <c r="M157" s="196"/>
    </row>
    <row r="158" spans="2:15" ht="18.75" customHeight="1">
      <c r="B158" s="499" t="str">
        <f>B17</f>
        <v>ENCARREGADO</v>
      </c>
      <c r="C158" s="500"/>
      <c r="D158" s="500"/>
      <c r="E158" s="500"/>
      <c r="F158" s="501"/>
      <c r="G158" s="540">
        <f>L154</f>
        <v>4519.05</v>
      </c>
      <c r="H158" s="541"/>
      <c r="I158" s="200">
        <v>1</v>
      </c>
      <c r="J158" s="184">
        <f>I158*G158</f>
        <v>4519.05</v>
      </c>
      <c r="K158" s="200">
        <f>I17</f>
        <v>1</v>
      </c>
      <c r="L158" s="184">
        <f>K158*J158</f>
        <v>4519.05</v>
      </c>
      <c r="M158" s="196"/>
    </row>
    <row r="159" spans="2:15" ht="15" customHeight="1">
      <c r="B159" s="160"/>
      <c r="C159" s="160"/>
      <c r="D159" s="160"/>
      <c r="E159" s="160"/>
      <c r="F159" s="160"/>
      <c r="G159" s="160"/>
      <c r="H159" s="160"/>
      <c r="I159" s="160"/>
      <c r="J159" s="160"/>
      <c r="K159" s="201"/>
      <c r="L159" s="202"/>
    </row>
    <row r="160" spans="2:15" ht="15" customHeight="1">
      <c r="B160" s="499" t="s">
        <v>354</v>
      </c>
      <c r="C160" s="500"/>
      <c r="D160" s="500"/>
      <c r="E160" s="500"/>
      <c r="F160" s="500"/>
      <c r="G160" s="500"/>
      <c r="H160" s="500"/>
      <c r="I160" s="500"/>
      <c r="J160" s="500"/>
      <c r="K160" s="500"/>
      <c r="L160" s="501"/>
    </row>
    <row r="161" spans="2:16">
      <c r="B161" s="197"/>
      <c r="C161" s="534" t="s">
        <v>350</v>
      </c>
      <c r="D161" s="535"/>
      <c r="E161" s="535"/>
      <c r="F161" s="535"/>
      <c r="G161" s="535"/>
      <c r="H161" s="535"/>
      <c r="I161" s="535"/>
      <c r="J161" s="535"/>
      <c r="K161" s="536"/>
      <c r="L161" s="199" t="s">
        <v>251</v>
      </c>
    </row>
    <row r="162" spans="2:16">
      <c r="B162" s="64" t="s">
        <v>78</v>
      </c>
      <c r="C162" s="537" t="s">
        <v>351</v>
      </c>
      <c r="D162" s="538"/>
      <c r="E162" s="538"/>
      <c r="F162" s="538"/>
      <c r="G162" s="538"/>
      <c r="H162" s="538"/>
      <c r="I162" s="538"/>
      <c r="J162" s="538"/>
      <c r="K162" s="539"/>
      <c r="L162" s="203">
        <f>J158</f>
        <v>4519.05</v>
      </c>
      <c r="N162" s="196"/>
      <c r="P162" s="195"/>
    </row>
    <row r="163" spans="2:16" ht="15" customHeight="1">
      <c r="B163" s="64" t="s">
        <v>83</v>
      </c>
      <c r="C163" s="537" t="s">
        <v>352</v>
      </c>
      <c r="D163" s="538"/>
      <c r="E163" s="538"/>
      <c r="F163" s="538"/>
      <c r="G163" s="538"/>
      <c r="H163" s="538"/>
      <c r="I163" s="538"/>
      <c r="J163" s="538"/>
      <c r="K163" s="539"/>
      <c r="L163" s="184">
        <f>L162*K158</f>
        <v>4519.05</v>
      </c>
      <c r="M163" s="195"/>
    </row>
    <row r="164" spans="2:16" ht="19.5" customHeight="1">
      <c r="B164" s="197" t="s">
        <v>86</v>
      </c>
      <c r="C164" s="509" t="s">
        <v>353</v>
      </c>
      <c r="D164" s="510"/>
      <c r="E164" s="510"/>
      <c r="F164" s="510"/>
      <c r="G164" s="510"/>
      <c r="H164" s="510"/>
      <c r="I164" s="510"/>
      <c r="J164" s="510"/>
      <c r="K164" s="511"/>
      <c r="L164" s="203">
        <f>L163*K12</f>
        <v>54228.6</v>
      </c>
    </row>
    <row r="165" spans="2:16" ht="15" customHeight="1">
      <c r="B165" s="160"/>
      <c r="C165" s="160"/>
      <c r="D165" s="160"/>
      <c r="E165" s="160"/>
      <c r="F165" s="160"/>
      <c r="G165" s="160"/>
      <c r="H165" s="160"/>
      <c r="I165" s="160"/>
      <c r="J165" s="160"/>
      <c r="K165" s="201"/>
      <c r="L165" s="202"/>
    </row>
    <row r="166" spans="2:16" ht="15" customHeight="1">
      <c r="N166" s="196">
        <v>4573.6499999999996</v>
      </c>
    </row>
    <row r="167" spans="2:16" ht="15" customHeight="1">
      <c r="N167" s="196">
        <v>4535.9399999999996</v>
      </c>
    </row>
    <row r="168" spans="2:16" ht="15" customHeight="1">
      <c r="N168" s="196">
        <v>4447.57</v>
      </c>
    </row>
    <row r="169" spans="2:16" ht="15" customHeight="1">
      <c r="L169" s="260"/>
      <c r="N169" s="196"/>
    </row>
    <row r="170" spans="2:16" ht="15" customHeight="1">
      <c r="L170" s="261"/>
      <c r="N170" s="196">
        <f>(N166+N167+N168)/3</f>
        <v>4519.05</v>
      </c>
    </row>
    <row r="171" spans="2:16" ht="15" customHeight="1">
      <c r="L171" s="262"/>
    </row>
  </sheetData>
  <mergeCells count="157">
    <mergeCell ref="B160:L160"/>
    <mergeCell ref="C161:K161"/>
    <mergeCell ref="C162:K162"/>
    <mergeCell ref="C163:K163"/>
    <mergeCell ref="C164:K164"/>
    <mergeCell ref="B154:K154"/>
    <mergeCell ref="B155:K155"/>
    <mergeCell ref="B156:L156"/>
    <mergeCell ref="B157:F157"/>
    <mergeCell ref="G157:H157"/>
    <mergeCell ref="B158:F158"/>
    <mergeCell ref="G158:H158"/>
    <mergeCell ref="C148:K148"/>
    <mergeCell ref="C149:K149"/>
    <mergeCell ref="C150:K150"/>
    <mergeCell ref="C151:K151"/>
    <mergeCell ref="B152:K152"/>
    <mergeCell ref="C153:K153"/>
    <mergeCell ref="B141:I141"/>
    <mergeCell ref="B142:L142"/>
    <mergeCell ref="B143:L143"/>
    <mergeCell ref="B145:L145"/>
    <mergeCell ref="B146:K146"/>
    <mergeCell ref="C147:K147"/>
    <mergeCell ref="B135:B139"/>
    <mergeCell ref="C135:L135"/>
    <mergeCell ref="C136:I137"/>
    <mergeCell ref="C138:I138"/>
    <mergeCell ref="C139:I139"/>
    <mergeCell ref="B140:I140"/>
    <mergeCell ref="B128:L128"/>
    <mergeCell ref="B130:L130"/>
    <mergeCell ref="C131:J131"/>
    <mergeCell ref="C132:J132"/>
    <mergeCell ref="C133:J133"/>
    <mergeCell ref="B134:J134"/>
    <mergeCell ref="C122:K122"/>
    <mergeCell ref="C123:K123"/>
    <mergeCell ref="C124:K124"/>
    <mergeCell ref="C125:K125"/>
    <mergeCell ref="C126:K126"/>
    <mergeCell ref="B127:K127"/>
    <mergeCell ref="C115:K115"/>
    <mergeCell ref="C116:K116"/>
    <mergeCell ref="C117:K117"/>
    <mergeCell ref="B118:K118"/>
    <mergeCell ref="B119:L119"/>
    <mergeCell ref="B121:L121"/>
    <mergeCell ref="C107:K107"/>
    <mergeCell ref="B108:K108"/>
    <mergeCell ref="G110:L110"/>
    <mergeCell ref="G111:L111"/>
    <mergeCell ref="B113:L113"/>
    <mergeCell ref="B114:L114"/>
    <mergeCell ref="C100:J100"/>
    <mergeCell ref="C101:J101"/>
    <mergeCell ref="B102:J102"/>
    <mergeCell ref="B103:L103"/>
    <mergeCell ref="B105:L105"/>
    <mergeCell ref="C106:K106"/>
    <mergeCell ref="B94:L94"/>
    <mergeCell ref="C95:J95"/>
    <mergeCell ref="C96:J96"/>
    <mergeCell ref="C97:J97"/>
    <mergeCell ref="C98:J98"/>
    <mergeCell ref="C99:J99"/>
    <mergeCell ref="C87:J87"/>
    <mergeCell ref="C88:J88"/>
    <mergeCell ref="C89:J89"/>
    <mergeCell ref="B90:J90"/>
    <mergeCell ref="B91:L91"/>
    <mergeCell ref="B93:L93"/>
    <mergeCell ref="B81:L81"/>
    <mergeCell ref="B82:L82"/>
    <mergeCell ref="C83:J83"/>
    <mergeCell ref="C84:J84"/>
    <mergeCell ref="C85:J85"/>
    <mergeCell ref="C86:J86"/>
    <mergeCell ref="B74:L74"/>
    <mergeCell ref="C75:K75"/>
    <mergeCell ref="C76:K76"/>
    <mergeCell ref="C77:K77"/>
    <mergeCell ref="C78:K78"/>
    <mergeCell ref="B79:K79"/>
    <mergeCell ref="C65:K65"/>
    <mergeCell ref="C67:K67"/>
    <mergeCell ref="B69:K69"/>
    <mergeCell ref="B70:L70"/>
    <mergeCell ref="B71:L71"/>
    <mergeCell ref="B73:L73"/>
    <mergeCell ref="B58:L58"/>
    <mergeCell ref="B59:L59"/>
    <mergeCell ref="B61:L61"/>
    <mergeCell ref="C62:K62"/>
    <mergeCell ref="C63:K63"/>
    <mergeCell ref="C64:K64"/>
    <mergeCell ref="C52:J52"/>
    <mergeCell ref="C53:J53"/>
    <mergeCell ref="C54:J54"/>
    <mergeCell ref="C55:J55"/>
    <mergeCell ref="B56:J56"/>
    <mergeCell ref="B57:L57"/>
    <mergeCell ref="B46:L46"/>
    <mergeCell ref="C47:J47"/>
    <mergeCell ref="C48:J48"/>
    <mergeCell ref="C49:J49"/>
    <mergeCell ref="C50:J50"/>
    <mergeCell ref="C51:J51"/>
    <mergeCell ref="C39:J39"/>
    <mergeCell ref="C40:J40"/>
    <mergeCell ref="B41:J41"/>
    <mergeCell ref="B42:L42"/>
    <mergeCell ref="B43:L43"/>
    <mergeCell ref="B44:L44"/>
    <mergeCell ref="C32:J32"/>
    <mergeCell ref="C33:J33"/>
    <mergeCell ref="B34:I34"/>
    <mergeCell ref="B35:L35"/>
    <mergeCell ref="B37:L37"/>
    <mergeCell ref="C38:J38"/>
    <mergeCell ref="B26:L26"/>
    <mergeCell ref="C27:K27"/>
    <mergeCell ref="C28:J28"/>
    <mergeCell ref="C29:J29"/>
    <mergeCell ref="C30:J30"/>
    <mergeCell ref="C31:J31"/>
    <mergeCell ref="C22:J22"/>
    <mergeCell ref="K22:L22"/>
    <mergeCell ref="C23:J23"/>
    <mergeCell ref="K23:L23"/>
    <mergeCell ref="C24:J24"/>
    <mergeCell ref="K24:L24"/>
    <mergeCell ref="B17:E17"/>
    <mergeCell ref="F17:H17"/>
    <mergeCell ref="I17:L17"/>
    <mergeCell ref="B19:L19"/>
    <mergeCell ref="B20:L20"/>
    <mergeCell ref="C21:J21"/>
    <mergeCell ref="K21:L21"/>
    <mergeCell ref="C12:J12"/>
    <mergeCell ref="K12:L12"/>
    <mergeCell ref="B14:L14"/>
    <mergeCell ref="B15:L15"/>
    <mergeCell ref="B16:E16"/>
    <mergeCell ref="F16:H16"/>
    <mergeCell ref="I16:L16"/>
    <mergeCell ref="C9:J9"/>
    <mergeCell ref="K9:L9"/>
    <mergeCell ref="C10:J10"/>
    <mergeCell ref="K10:L10"/>
    <mergeCell ref="C11:J11"/>
    <mergeCell ref="K11:L11"/>
    <mergeCell ref="A1:L1"/>
    <mergeCell ref="B2:I2"/>
    <mergeCell ref="B4:I4"/>
    <mergeCell ref="B6:L6"/>
    <mergeCell ref="B8:L8"/>
  </mergeCells>
  <pageMargins left="0.15748031496062992" right="0.19685039370078741" top="0.94488188976377963" bottom="0.31496062992125984" header="0.19685039370078741" footer="0.15748031496062992"/>
  <pageSetup paperSize="9" scale="64" fitToHeight="0" orientation="portrait" r:id="rId1"/>
  <headerFooter>
    <oddHeader>&amp;L&amp;G</oddHeader>
  </headerFooter>
  <rowBreaks count="2" manualBreakCount="2">
    <brk id="79" max="16383" man="1"/>
    <brk id="164" max="11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4" tint="-0.499984740745262"/>
  </sheetPr>
  <dimension ref="A1:Q173"/>
  <sheetViews>
    <sheetView showGridLines="0" topLeftCell="A153" zoomScale="130" zoomScaleNormal="130" zoomScaleSheetLayoutView="90" workbookViewId="0">
      <selection activeCell="M126" sqref="M126"/>
    </sheetView>
  </sheetViews>
  <sheetFormatPr defaultColWidth="9.140625" defaultRowHeight="15" customHeight="1"/>
  <cols>
    <col min="1" max="1" width="3.140625" style="63" customWidth="1"/>
    <col min="2" max="2" width="19.28515625" style="23" customWidth="1"/>
    <col min="3" max="3" width="20.85546875" style="23" customWidth="1"/>
    <col min="4" max="4" width="13.140625" style="23" customWidth="1"/>
    <col min="5" max="5" width="5.42578125" style="23" customWidth="1"/>
    <col min="6" max="6" width="12.7109375" style="23" customWidth="1"/>
    <col min="7" max="7" width="11.85546875" style="187" customWidth="1"/>
    <col min="8" max="8" width="7.140625" style="23" customWidth="1"/>
    <col min="9" max="9" width="9.42578125" style="187" customWidth="1"/>
    <col min="10" max="10" width="12.85546875" style="187" bestFit="1" customWidth="1"/>
    <col min="11" max="11" width="11.42578125" style="188" customWidth="1"/>
    <col min="12" max="12" width="18.42578125" style="189" customWidth="1"/>
    <col min="13" max="13" width="10.42578125" style="63" customWidth="1"/>
    <col min="14" max="14" width="11.140625" style="63" bestFit="1" customWidth="1"/>
    <col min="15" max="15" width="9.140625" style="63"/>
    <col min="16" max="16" width="13.42578125" style="63" customWidth="1"/>
    <col min="17" max="17" width="14.42578125" style="63" customWidth="1"/>
    <col min="18" max="16384" width="9.140625" style="63"/>
  </cols>
  <sheetData>
    <row r="1" spans="1:12" ht="18" customHeight="1">
      <c r="A1" s="496" t="s">
        <v>357</v>
      </c>
      <c r="B1" s="496"/>
      <c r="C1" s="496"/>
      <c r="D1" s="496"/>
      <c r="E1" s="496"/>
      <c r="F1" s="496"/>
      <c r="G1" s="496"/>
      <c r="H1" s="496"/>
      <c r="I1" s="496"/>
      <c r="J1" s="496"/>
      <c r="K1" s="496"/>
      <c r="L1" s="496"/>
    </row>
    <row r="2" spans="1:12" s="158" customFormat="1" ht="15.75" customHeight="1">
      <c r="B2" s="142"/>
      <c r="C2" s="142"/>
      <c r="D2" s="142"/>
      <c r="E2" s="142"/>
      <c r="F2" s="142"/>
      <c r="G2" s="142"/>
      <c r="H2" s="142"/>
      <c r="I2" s="142"/>
      <c r="K2" s="159"/>
    </row>
    <row r="3" spans="1:12" s="158" customFormat="1" ht="15.75" customHeight="1"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</row>
    <row r="4" spans="1:12" s="158" customFormat="1" ht="15.75" customHeight="1">
      <c r="B4" s="497"/>
      <c r="C4" s="497"/>
      <c r="D4" s="497"/>
      <c r="E4" s="497"/>
      <c r="F4" s="497"/>
      <c r="G4" s="497"/>
      <c r="H4" s="497"/>
      <c r="I4" s="497"/>
      <c r="K4" s="159"/>
    </row>
    <row r="5" spans="1:12" s="158" customFormat="1" ht="15.75" customHeight="1">
      <c r="B5" s="142"/>
      <c r="C5" s="142"/>
      <c r="D5" s="142"/>
      <c r="E5" s="142"/>
      <c r="F5" s="142"/>
      <c r="G5" s="142"/>
      <c r="H5" s="142"/>
      <c r="I5" s="142"/>
      <c r="K5" s="159"/>
    </row>
    <row r="6" spans="1:12" ht="13.5" customHeight="1">
      <c r="B6" s="498"/>
      <c r="C6" s="498"/>
      <c r="D6" s="498"/>
      <c r="E6" s="498"/>
      <c r="F6" s="498"/>
      <c r="G6" s="498"/>
      <c r="H6" s="498"/>
      <c r="I6" s="498"/>
      <c r="J6" s="498"/>
      <c r="K6" s="498"/>
      <c r="L6" s="498"/>
    </row>
    <row r="7" spans="1:12" ht="12" customHeight="1">
      <c r="B7" s="160"/>
      <c r="C7" s="160"/>
      <c r="D7" s="160"/>
      <c r="E7" s="160"/>
      <c r="F7" s="160"/>
      <c r="G7" s="161"/>
      <c r="H7" s="161"/>
      <c r="I7" s="161"/>
      <c r="J7" s="161"/>
      <c r="K7" s="162"/>
      <c r="L7" s="161"/>
    </row>
    <row r="8" spans="1:12" ht="15" customHeight="1">
      <c r="B8" s="499" t="s">
        <v>299</v>
      </c>
      <c r="C8" s="500"/>
      <c r="D8" s="500"/>
      <c r="E8" s="500"/>
      <c r="F8" s="500"/>
      <c r="G8" s="500"/>
      <c r="H8" s="500"/>
      <c r="I8" s="500"/>
      <c r="J8" s="500"/>
      <c r="K8" s="500"/>
      <c r="L8" s="501"/>
    </row>
    <row r="9" spans="1:12" ht="15" customHeight="1">
      <c r="B9" s="64" t="s">
        <v>78</v>
      </c>
      <c r="C9" s="329" t="s">
        <v>300</v>
      </c>
      <c r="D9" s="492"/>
      <c r="E9" s="492"/>
      <c r="F9" s="492"/>
      <c r="G9" s="492"/>
      <c r="H9" s="492"/>
      <c r="I9" s="492"/>
      <c r="J9" s="330"/>
      <c r="K9" s="493" t="s">
        <v>538</v>
      </c>
      <c r="L9" s="493"/>
    </row>
    <row r="10" spans="1:12" ht="15" customHeight="1">
      <c r="B10" s="64" t="s">
        <v>83</v>
      </c>
      <c r="C10" s="329" t="s">
        <v>301</v>
      </c>
      <c r="D10" s="492"/>
      <c r="E10" s="492"/>
      <c r="F10" s="492"/>
      <c r="G10" s="492"/>
      <c r="H10" s="492"/>
      <c r="I10" s="492"/>
      <c r="J10" s="330"/>
      <c r="K10" s="494" t="s">
        <v>374</v>
      </c>
      <c r="L10" s="495"/>
    </row>
    <row r="11" spans="1:12" ht="15" customHeight="1">
      <c r="B11" s="64" t="s">
        <v>86</v>
      </c>
      <c r="C11" s="329" t="s">
        <v>302</v>
      </c>
      <c r="D11" s="492"/>
      <c r="E11" s="492"/>
      <c r="F11" s="492"/>
      <c r="G11" s="492"/>
      <c r="H11" s="492"/>
      <c r="I11" s="492"/>
      <c r="J11" s="330"/>
      <c r="K11" s="494" t="s">
        <v>539</v>
      </c>
      <c r="L11" s="495"/>
    </row>
    <row r="12" spans="1:12" ht="15" customHeight="1">
      <c r="B12" s="64" t="s">
        <v>88</v>
      </c>
      <c r="C12" s="509" t="s">
        <v>303</v>
      </c>
      <c r="D12" s="510"/>
      <c r="E12" s="510"/>
      <c r="F12" s="510"/>
      <c r="G12" s="510"/>
      <c r="H12" s="510"/>
      <c r="I12" s="510"/>
      <c r="J12" s="511"/>
      <c r="K12" s="494">
        <v>12</v>
      </c>
      <c r="L12" s="495"/>
    </row>
    <row r="13" spans="1:12" ht="7.5" customHeight="1">
      <c r="B13" s="163"/>
      <c r="C13" s="163"/>
      <c r="D13" s="163"/>
      <c r="E13" s="163"/>
      <c r="F13" s="163"/>
      <c r="G13" s="164"/>
      <c r="H13" s="163"/>
      <c r="I13" s="164"/>
      <c r="J13" s="164"/>
      <c r="K13" s="165"/>
      <c r="L13" s="164"/>
    </row>
    <row r="14" spans="1:12" ht="15" customHeight="1">
      <c r="B14" s="506" t="s">
        <v>90</v>
      </c>
      <c r="C14" s="507"/>
      <c r="D14" s="507"/>
      <c r="E14" s="507"/>
      <c r="F14" s="507"/>
      <c r="G14" s="507"/>
      <c r="H14" s="507"/>
      <c r="I14" s="507"/>
      <c r="J14" s="507"/>
      <c r="K14" s="507"/>
      <c r="L14" s="508"/>
    </row>
    <row r="15" spans="1:12" ht="15" customHeight="1">
      <c r="B15" s="512" t="s">
        <v>304</v>
      </c>
      <c r="C15" s="512"/>
      <c r="D15" s="512"/>
      <c r="E15" s="512"/>
      <c r="F15" s="512"/>
      <c r="G15" s="512"/>
      <c r="H15" s="512"/>
      <c r="I15" s="512"/>
      <c r="J15" s="512"/>
      <c r="K15" s="512"/>
      <c r="L15" s="512"/>
    </row>
    <row r="16" spans="1:12" ht="15" customHeight="1">
      <c r="B16" s="499" t="s">
        <v>305</v>
      </c>
      <c r="C16" s="500"/>
      <c r="D16" s="500"/>
      <c r="E16" s="501"/>
      <c r="F16" s="499" t="s">
        <v>92</v>
      </c>
      <c r="G16" s="500"/>
      <c r="H16" s="501"/>
      <c r="I16" s="512" t="s">
        <v>306</v>
      </c>
      <c r="J16" s="512"/>
      <c r="K16" s="512"/>
      <c r="L16" s="512"/>
    </row>
    <row r="17" spans="1:12" ht="23.25" customHeight="1">
      <c r="B17" s="502" t="s">
        <v>381</v>
      </c>
      <c r="C17" s="503"/>
      <c r="D17" s="503"/>
      <c r="E17" s="504"/>
      <c r="F17" s="494" t="s">
        <v>377</v>
      </c>
      <c r="G17" s="505"/>
      <c r="H17" s="495"/>
      <c r="I17" s="494">
        <v>1</v>
      </c>
      <c r="J17" s="505"/>
      <c r="K17" s="505"/>
      <c r="L17" s="495"/>
    </row>
    <row r="18" spans="1:12" ht="7.5" customHeight="1">
      <c r="B18" s="163"/>
      <c r="C18" s="163"/>
      <c r="D18" s="163"/>
      <c r="E18" s="163"/>
      <c r="F18" s="163"/>
      <c r="G18" s="164"/>
      <c r="H18" s="163"/>
      <c r="I18" s="164"/>
      <c r="J18" s="164"/>
      <c r="K18" s="165"/>
      <c r="L18" s="164"/>
    </row>
    <row r="19" spans="1:12" s="140" customFormat="1" ht="22.5" customHeight="1">
      <c r="A19" s="166"/>
      <c r="B19" s="506" t="s">
        <v>307</v>
      </c>
      <c r="C19" s="507"/>
      <c r="D19" s="507"/>
      <c r="E19" s="507"/>
      <c r="F19" s="507"/>
      <c r="G19" s="507"/>
      <c r="H19" s="507"/>
      <c r="I19" s="507"/>
      <c r="J19" s="507"/>
      <c r="K19" s="507"/>
      <c r="L19" s="508"/>
    </row>
    <row r="20" spans="1:12" s="140" customFormat="1" ht="15" customHeight="1">
      <c r="A20" s="166"/>
      <c r="B20" s="499" t="s">
        <v>308</v>
      </c>
      <c r="C20" s="500"/>
      <c r="D20" s="500"/>
      <c r="E20" s="500"/>
      <c r="F20" s="500"/>
      <c r="G20" s="500"/>
      <c r="H20" s="500"/>
      <c r="I20" s="500"/>
      <c r="J20" s="500"/>
      <c r="K20" s="500"/>
      <c r="L20" s="501"/>
    </row>
    <row r="21" spans="1:12" s="149" customFormat="1" ht="15" customHeight="1">
      <c r="A21" s="166"/>
      <c r="B21" s="64">
        <v>1</v>
      </c>
      <c r="C21" s="329" t="s">
        <v>313</v>
      </c>
      <c r="D21" s="492"/>
      <c r="E21" s="492"/>
      <c r="F21" s="492"/>
      <c r="G21" s="492"/>
      <c r="H21" s="492"/>
      <c r="I21" s="492"/>
      <c r="J21" s="330"/>
      <c r="K21" s="493" t="str">
        <f>B17</f>
        <v>SERVENTE</v>
      </c>
      <c r="L21" s="493"/>
    </row>
    <row r="22" spans="1:12" s="140" customFormat="1" ht="15" customHeight="1">
      <c r="A22" s="166"/>
      <c r="B22" s="64">
        <v>2</v>
      </c>
      <c r="C22" s="329" t="s">
        <v>297</v>
      </c>
      <c r="D22" s="492"/>
      <c r="E22" s="492"/>
      <c r="F22" s="492"/>
      <c r="G22" s="492"/>
      <c r="H22" s="492"/>
      <c r="I22" s="492"/>
      <c r="J22" s="330"/>
      <c r="K22" s="494" t="s">
        <v>380</v>
      </c>
      <c r="L22" s="495"/>
    </row>
    <row r="23" spans="1:12" s="140" customFormat="1" ht="15" customHeight="1">
      <c r="A23" s="166"/>
      <c r="B23" s="64">
        <v>3</v>
      </c>
      <c r="C23" s="329" t="s">
        <v>314</v>
      </c>
      <c r="D23" s="492"/>
      <c r="E23" s="492"/>
      <c r="F23" s="492"/>
      <c r="G23" s="492"/>
      <c r="H23" s="492"/>
      <c r="I23" s="492"/>
      <c r="J23" s="330"/>
      <c r="K23" s="513">
        <v>1429.24</v>
      </c>
      <c r="L23" s="514"/>
    </row>
    <row r="24" spans="1:12" ht="15" customHeight="1">
      <c r="A24" s="166"/>
      <c r="B24" s="64">
        <v>4</v>
      </c>
      <c r="C24" s="509" t="s">
        <v>309</v>
      </c>
      <c r="D24" s="510"/>
      <c r="E24" s="510"/>
      <c r="F24" s="510"/>
      <c r="G24" s="510"/>
      <c r="H24" s="510"/>
      <c r="I24" s="510"/>
      <c r="J24" s="511"/>
      <c r="K24" s="515">
        <v>44927</v>
      </c>
      <c r="L24" s="516"/>
    </row>
    <row r="25" spans="1:12" ht="7.5" customHeight="1">
      <c r="B25" s="163"/>
      <c r="C25" s="163"/>
      <c r="D25" s="163"/>
      <c r="E25" s="163"/>
      <c r="F25" s="163"/>
      <c r="G25" s="164"/>
      <c r="H25" s="163"/>
      <c r="I25" s="164"/>
      <c r="J25" s="164"/>
      <c r="K25" s="165"/>
      <c r="L25" s="164"/>
    </row>
    <row r="26" spans="1:12" ht="15" customHeight="1">
      <c r="B26" s="499" t="s">
        <v>310</v>
      </c>
      <c r="C26" s="500"/>
      <c r="D26" s="500"/>
      <c r="E26" s="500"/>
      <c r="F26" s="500"/>
      <c r="G26" s="500"/>
      <c r="H26" s="500"/>
      <c r="I26" s="500"/>
      <c r="J26" s="500"/>
      <c r="K26" s="500"/>
      <c r="L26" s="501"/>
    </row>
    <row r="27" spans="1:12" ht="15" customHeight="1">
      <c r="B27" s="64">
        <v>1</v>
      </c>
      <c r="C27" s="499" t="s">
        <v>107</v>
      </c>
      <c r="D27" s="500"/>
      <c r="E27" s="500"/>
      <c r="F27" s="500"/>
      <c r="G27" s="500"/>
      <c r="H27" s="500"/>
      <c r="I27" s="500"/>
      <c r="J27" s="500"/>
      <c r="K27" s="501"/>
      <c r="L27" s="167" t="s">
        <v>108</v>
      </c>
    </row>
    <row r="28" spans="1:12" ht="15" customHeight="1">
      <c r="B28" s="64" t="s">
        <v>78</v>
      </c>
      <c r="C28" s="329" t="s">
        <v>109</v>
      </c>
      <c r="D28" s="492"/>
      <c r="E28" s="492"/>
      <c r="F28" s="492"/>
      <c r="G28" s="492"/>
      <c r="H28" s="492"/>
      <c r="I28" s="492"/>
      <c r="J28" s="330"/>
      <c r="K28" s="136"/>
      <c r="L28" s="137">
        <f>K23</f>
        <v>1429.24</v>
      </c>
    </row>
    <row r="29" spans="1:12" ht="15" customHeight="1">
      <c r="B29" s="64" t="s">
        <v>83</v>
      </c>
      <c r="C29" s="329" t="s">
        <v>110</v>
      </c>
      <c r="D29" s="492"/>
      <c r="E29" s="492"/>
      <c r="F29" s="492"/>
      <c r="G29" s="492"/>
      <c r="H29" s="492"/>
      <c r="I29" s="492"/>
      <c r="J29" s="330"/>
      <c r="K29" s="136"/>
      <c r="L29" s="137">
        <f>$L$28*K29</f>
        <v>0</v>
      </c>
    </row>
    <row r="30" spans="1:12" ht="15" customHeight="1">
      <c r="B30" s="64" t="s">
        <v>86</v>
      </c>
      <c r="C30" s="329" t="s">
        <v>111</v>
      </c>
      <c r="D30" s="492"/>
      <c r="E30" s="492"/>
      <c r="F30" s="492"/>
      <c r="G30" s="492"/>
      <c r="H30" s="492"/>
      <c r="I30" s="492"/>
      <c r="J30" s="330"/>
      <c r="K30" s="168"/>
      <c r="L30" s="137">
        <f t="shared" ref="L30:L33" si="0">$L$28*K30</f>
        <v>0</v>
      </c>
    </row>
    <row r="31" spans="1:12" ht="15" customHeight="1">
      <c r="B31" s="64" t="s">
        <v>88</v>
      </c>
      <c r="C31" s="329" t="s">
        <v>112</v>
      </c>
      <c r="D31" s="492"/>
      <c r="E31" s="492"/>
      <c r="F31" s="492"/>
      <c r="G31" s="492"/>
      <c r="H31" s="492"/>
      <c r="I31" s="492"/>
      <c r="J31" s="330"/>
      <c r="K31" s="136"/>
      <c r="L31" s="137">
        <f t="shared" si="0"/>
        <v>0</v>
      </c>
    </row>
    <row r="32" spans="1:12" ht="15" customHeight="1">
      <c r="B32" s="64" t="s">
        <v>113</v>
      </c>
      <c r="C32" s="329" t="s">
        <v>311</v>
      </c>
      <c r="D32" s="492"/>
      <c r="E32" s="492"/>
      <c r="F32" s="492"/>
      <c r="G32" s="492"/>
      <c r="H32" s="492"/>
      <c r="I32" s="492"/>
      <c r="J32" s="330"/>
      <c r="K32" s="136"/>
      <c r="L32" s="137">
        <f t="shared" si="0"/>
        <v>0</v>
      </c>
    </row>
    <row r="33" spans="2:12" ht="15" customHeight="1">
      <c r="B33" s="64" t="s">
        <v>116</v>
      </c>
      <c r="C33" s="329" t="s">
        <v>126</v>
      </c>
      <c r="D33" s="492"/>
      <c r="E33" s="492"/>
      <c r="F33" s="492"/>
      <c r="G33" s="492"/>
      <c r="H33" s="492"/>
      <c r="I33" s="492"/>
      <c r="J33" s="330"/>
      <c r="K33" s="136"/>
      <c r="L33" s="137">
        <f t="shared" si="0"/>
        <v>0</v>
      </c>
    </row>
    <row r="34" spans="2:12" ht="15" customHeight="1">
      <c r="B34" s="499" t="s">
        <v>128</v>
      </c>
      <c r="C34" s="500"/>
      <c r="D34" s="500"/>
      <c r="E34" s="500"/>
      <c r="F34" s="500"/>
      <c r="G34" s="500"/>
      <c r="H34" s="500"/>
      <c r="I34" s="501"/>
      <c r="J34" s="169"/>
      <c r="K34" s="170"/>
      <c r="L34" s="171">
        <f>SUM(L28:L33)</f>
        <v>1429.24</v>
      </c>
    </row>
    <row r="35" spans="2:12" ht="15" hidden="1" customHeight="1">
      <c r="B35" s="519" t="s">
        <v>312</v>
      </c>
      <c r="C35" s="519"/>
      <c r="D35" s="519"/>
      <c r="E35" s="519"/>
      <c r="F35" s="519"/>
      <c r="G35" s="519"/>
      <c r="H35" s="519"/>
      <c r="I35" s="519"/>
      <c r="J35" s="519"/>
      <c r="K35" s="519"/>
      <c r="L35" s="519"/>
    </row>
    <row r="36" spans="2:12" ht="7.5" customHeight="1">
      <c r="B36" s="163"/>
      <c r="C36" s="163"/>
      <c r="D36" s="163"/>
      <c r="E36" s="163"/>
      <c r="F36" s="163"/>
      <c r="G36" s="164"/>
      <c r="H36" s="163"/>
      <c r="I36" s="164"/>
      <c r="J36" s="164"/>
      <c r="K36" s="165"/>
      <c r="L36" s="164"/>
    </row>
    <row r="37" spans="2:12" ht="15" customHeight="1">
      <c r="B37" s="499" t="s">
        <v>315</v>
      </c>
      <c r="C37" s="500"/>
      <c r="D37" s="500"/>
      <c r="E37" s="500"/>
      <c r="F37" s="500"/>
      <c r="G37" s="500"/>
      <c r="H37" s="500"/>
      <c r="I37" s="500"/>
      <c r="J37" s="500"/>
      <c r="K37" s="500"/>
      <c r="L37" s="501"/>
    </row>
    <row r="38" spans="2:12" ht="15" customHeight="1">
      <c r="B38" s="64" t="s">
        <v>316</v>
      </c>
      <c r="C38" s="499" t="s">
        <v>317</v>
      </c>
      <c r="D38" s="500"/>
      <c r="E38" s="500"/>
      <c r="F38" s="500"/>
      <c r="G38" s="500"/>
      <c r="H38" s="500"/>
      <c r="I38" s="500"/>
      <c r="J38" s="501"/>
      <c r="K38" s="172" t="s">
        <v>166</v>
      </c>
      <c r="L38" s="167" t="s">
        <v>108</v>
      </c>
    </row>
    <row r="39" spans="2:12" ht="15" customHeight="1">
      <c r="B39" s="64" t="s">
        <v>78</v>
      </c>
      <c r="C39" s="329" t="s">
        <v>181</v>
      </c>
      <c r="D39" s="492"/>
      <c r="E39" s="492"/>
      <c r="F39" s="492"/>
      <c r="G39" s="492"/>
      <c r="H39" s="492"/>
      <c r="I39" s="492"/>
      <c r="J39" s="330"/>
      <c r="K39" s="136">
        <f>(1/12)</f>
        <v>8.3299999999999999E-2</v>
      </c>
      <c r="L39" s="137">
        <f>ROUND($L$34*K39,2)</f>
        <v>119.06</v>
      </c>
    </row>
    <row r="40" spans="2:12" ht="15" customHeight="1">
      <c r="B40" s="64" t="s">
        <v>83</v>
      </c>
      <c r="C40" s="329" t="s">
        <v>358</v>
      </c>
      <c r="D40" s="492"/>
      <c r="E40" s="492"/>
      <c r="F40" s="492"/>
      <c r="G40" s="492"/>
      <c r="H40" s="492"/>
      <c r="I40" s="492"/>
      <c r="J40" s="330"/>
      <c r="K40" s="136">
        <v>0.121</v>
      </c>
      <c r="L40" s="137">
        <f>K40*$L$34</f>
        <v>172.94</v>
      </c>
    </row>
    <row r="41" spans="2:12" ht="15" customHeight="1">
      <c r="B41" s="499" t="s">
        <v>57</v>
      </c>
      <c r="C41" s="500"/>
      <c r="D41" s="500"/>
      <c r="E41" s="500"/>
      <c r="F41" s="500"/>
      <c r="G41" s="500"/>
      <c r="H41" s="500"/>
      <c r="I41" s="500"/>
      <c r="J41" s="501"/>
      <c r="K41" s="173">
        <f>SUM(K39:K40)</f>
        <v>0.20430000000000001</v>
      </c>
      <c r="L41" s="174">
        <f>SUM(L39:L40)</f>
        <v>292</v>
      </c>
    </row>
    <row r="42" spans="2:12" ht="24" hidden="1" customHeight="1">
      <c r="B42" s="517" t="s">
        <v>524</v>
      </c>
      <c r="C42" s="517"/>
      <c r="D42" s="517"/>
      <c r="E42" s="517"/>
      <c r="F42" s="517"/>
      <c r="G42" s="517"/>
      <c r="H42" s="517"/>
      <c r="I42" s="517"/>
      <c r="J42" s="517"/>
      <c r="K42" s="517"/>
      <c r="L42" s="517"/>
    </row>
    <row r="43" spans="2:12" ht="15.75" hidden="1" customHeight="1">
      <c r="B43" s="518" t="s">
        <v>525</v>
      </c>
      <c r="C43" s="518"/>
      <c r="D43" s="518"/>
      <c r="E43" s="518"/>
      <c r="F43" s="518"/>
      <c r="G43" s="518"/>
      <c r="H43" s="518"/>
      <c r="I43" s="518"/>
      <c r="J43" s="518"/>
      <c r="K43" s="518"/>
      <c r="L43" s="518"/>
    </row>
    <row r="44" spans="2:12" ht="26.25" hidden="1" customHeight="1">
      <c r="B44" s="518" t="s">
        <v>526</v>
      </c>
      <c r="C44" s="518"/>
      <c r="D44" s="518"/>
      <c r="E44" s="518"/>
      <c r="F44" s="518"/>
      <c r="G44" s="518"/>
      <c r="H44" s="518"/>
      <c r="I44" s="518"/>
      <c r="J44" s="518"/>
      <c r="K44" s="518"/>
      <c r="L44" s="518"/>
    </row>
    <row r="45" spans="2:12" ht="7.5" customHeight="1">
      <c r="B45" s="163"/>
      <c r="C45" s="163"/>
      <c r="D45" s="163"/>
      <c r="E45" s="163"/>
      <c r="F45" s="163"/>
      <c r="G45" s="164"/>
      <c r="H45" s="163"/>
      <c r="I45" s="164"/>
      <c r="J45" s="164"/>
      <c r="K45" s="165"/>
      <c r="L45" s="164"/>
    </row>
    <row r="46" spans="2:12" ht="16.5" customHeight="1">
      <c r="B46" s="502" t="s">
        <v>366</v>
      </c>
      <c r="C46" s="503"/>
      <c r="D46" s="503"/>
      <c r="E46" s="503"/>
      <c r="F46" s="503"/>
      <c r="G46" s="503"/>
      <c r="H46" s="503"/>
      <c r="I46" s="503"/>
      <c r="J46" s="503"/>
      <c r="K46" s="503"/>
      <c r="L46" s="504"/>
    </row>
    <row r="47" spans="2:12" ht="14.25" customHeight="1">
      <c r="B47" s="64" t="s">
        <v>318</v>
      </c>
      <c r="C47" s="499" t="s">
        <v>319</v>
      </c>
      <c r="D47" s="500"/>
      <c r="E47" s="500"/>
      <c r="F47" s="500"/>
      <c r="G47" s="500"/>
      <c r="H47" s="500"/>
      <c r="I47" s="500"/>
      <c r="J47" s="501"/>
      <c r="K47" s="172" t="s">
        <v>166</v>
      </c>
      <c r="L47" s="167" t="s">
        <v>108</v>
      </c>
    </row>
    <row r="48" spans="2:12" ht="15" customHeight="1">
      <c r="B48" s="64" t="s">
        <v>78</v>
      </c>
      <c r="C48" s="329" t="s">
        <v>167</v>
      </c>
      <c r="D48" s="492"/>
      <c r="E48" s="492"/>
      <c r="F48" s="492"/>
      <c r="G48" s="492"/>
      <c r="H48" s="492"/>
      <c r="I48" s="492"/>
      <c r="J48" s="330"/>
      <c r="K48" s="136">
        <v>0.2</v>
      </c>
      <c r="L48" s="137">
        <f>ROUND(($L$34+$L$41)*K48,2)</f>
        <v>344.25</v>
      </c>
    </row>
    <row r="49" spans="2:17" ht="15" customHeight="1">
      <c r="B49" s="64" t="s">
        <v>83</v>
      </c>
      <c r="C49" s="329" t="s">
        <v>171</v>
      </c>
      <c r="D49" s="492"/>
      <c r="E49" s="492"/>
      <c r="F49" s="492"/>
      <c r="G49" s="492"/>
      <c r="H49" s="492"/>
      <c r="I49" s="492"/>
      <c r="J49" s="330"/>
      <c r="K49" s="136">
        <v>2.5000000000000001E-2</v>
      </c>
      <c r="L49" s="137">
        <f t="shared" ref="L49:L55" si="1">ROUND(($L$34+$L$41)*K49,2)</f>
        <v>43.03</v>
      </c>
    </row>
    <row r="50" spans="2:17" ht="15" customHeight="1">
      <c r="B50" s="64" t="s">
        <v>86</v>
      </c>
      <c r="C50" s="329" t="s">
        <v>261</v>
      </c>
      <c r="D50" s="492"/>
      <c r="E50" s="492"/>
      <c r="F50" s="492"/>
      <c r="G50" s="492"/>
      <c r="H50" s="492"/>
      <c r="I50" s="492"/>
      <c r="J50" s="330"/>
      <c r="K50" s="136">
        <v>1.9400000000000001E-2</v>
      </c>
      <c r="L50" s="137">
        <f t="shared" si="1"/>
        <v>33.39</v>
      </c>
      <c r="P50" s="195"/>
    </row>
    <row r="51" spans="2:17" ht="15" customHeight="1">
      <c r="B51" s="64" t="s">
        <v>88</v>
      </c>
      <c r="C51" s="329" t="s">
        <v>168</v>
      </c>
      <c r="D51" s="492"/>
      <c r="E51" s="492"/>
      <c r="F51" s="492"/>
      <c r="G51" s="492"/>
      <c r="H51" s="492"/>
      <c r="I51" s="492"/>
      <c r="J51" s="330"/>
      <c r="K51" s="136">
        <v>1.4999999999999999E-2</v>
      </c>
      <c r="L51" s="137">
        <f t="shared" si="1"/>
        <v>25.82</v>
      </c>
    </row>
    <row r="52" spans="2:17" ht="15" customHeight="1">
      <c r="B52" s="64" t="s">
        <v>113</v>
      </c>
      <c r="C52" s="329" t="s">
        <v>169</v>
      </c>
      <c r="D52" s="492"/>
      <c r="E52" s="492"/>
      <c r="F52" s="492"/>
      <c r="G52" s="492"/>
      <c r="H52" s="492"/>
      <c r="I52" s="492"/>
      <c r="J52" s="330"/>
      <c r="K52" s="136">
        <v>0.01</v>
      </c>
      <c r="L52" s="137">
        <f t="shared" si="1"/>
        <v>17.21</v>
      </c>
    </row>
    <row r="53" spans="2:17" ht="15" customHeight="1">
      <c r="B53" s="64" t="s">
        <v>116</v>
      </c>
      <c r="C53" s="329" t="s">
        <v>174</v>
      </c>
      <c r="D53" s="492"/>
      <c r="E53" s="492"/>
      <c r="F53" s="492"/>
      <c r="G53" s="492"/>
      <c r="H53" s="492"/>
      <c r="I53" s="492"/>
      <c r="J53" s="330"/>
      <c r="K53" s="136">
        <v>6.0000000000000001E-3</v>
      </c>
      <c r="L53" s="137">
        <f t="shared" si="1"/>
        <v>10.33</v>
      </c>
    </row>
    <row r="54" spans="2:17" ht="15" customHeight="1">
      <c r="B54" s="64" t="s">
        <v>122</v>
      </c>
      <c r="C54" s="329" t="s">
        <v>170</v>
      </c>
      <c r="D54" s="492"/>
      <c r="E54" s="492"/>
      <c r="F54" s="492"/>
      <c r="G54" s="492"/>
      <c r="H54" s="492"/>
      <c r="I54" s="492"/>
      <c r="J54" s="330"/>
      <c r="K54" s="136">
        <v>2E-3</v>
      </c>
      <c r="L54" s="137">
        <f t="shared" si="1"/>
        <v>3.44</v>
      </c>
    </row>
    <row r="55" spans="2:17" ht="15" customHeight="1">
      <c r="B55" s="64" t="s">
        <v>125</v>
      </c>
      <c r="C55" s="329" t="s">
        <v>172</v>
      </c>
      <c r="D55" s="492"/>
      <c r="E55" s="492"/>
      <c r="F55" s="492"/>
      <c r="G55" s="492"/>
      <c r="H55" s="492"/>
      <c r="I55" s="492"/>
      <c r="J55" s="330"/>
      <c r="K55" s="136">
        <v>0.08</v>
      </c>
      <c r="L55" s="137">
        <f t="shared" si="1"/>
        <v>137.69999999999999</v>
      </c>
    </row>
    <row r="56" spans="2:17" ht="15" customHeight="1">
      <c r="B56" s="499" t="s">
        <v>57</v>
      </c>
      <c r="C56" s="500"/>
      <c r="D56" s="500"/>
      <c r="E56" s="500"/>
      <c r="F56" s="500"/>
      <c r="G56" s="500"/>
      <c r="H56" s="500"/>
      <c r="I56" s="500"/>
      <c r="J56" s="501"/>
      <c r="K56" s="173">
        <f>SUM(K48:K55)</f>
        <v>0.3574</v>
      </c>
      <c r="L56" s="174">
        <f>SUM(L48:L55)</f>
        <v>615.16999999999996</v>
      </c>
    </row>
    <row r="57" spans="2:17" ht="11.25" hidden="1" customHeight="1">
      <c r="B57" s="520" t="s">
        <v>527</v>
      </c>
      <c r="C57" s="520"/>
      <c r="D57" s="520"/>
      <c r="E57" s="520"/>
      <c r="F57" s="520"/>
      <c r="G57" s="518"/>
      <c r="H57" s="518"/>
      <c r="I57" s="518"/>
      <c r="J57" s="518"/>
      <c r="K57" s="518"/>
      <c r="L57" s="518"/>
    </row>
    <row r="58" spans="2:17" ht="11.25" hidden="1" customHeight="1">
      <c r="B58" s="518" t="s">
        <v>528</v>
      </c>
      <c r="C58" s="518"/>
      <c r="D58" s="518"/>
      <c r="E58" s="518"/>
      <c r="F58" s="518"/>
      <c r="G58" s="518"/>
      <c r="H58" s="518"/>
      <c r="I58" s="518"/>
      <c r="J58" s="518"/>
      <c r="K58" s="518"/>
      <c r="L58" s="518"/>
    </row>
    <row r="59" spans="2:17" ht="11.25" hidden="1" customHeight="1">
      <c r="B59" s="518" t="s">
        <v>529</v>
      </c>
      <c r="C59" s="518"/>
      <c r="D59" s="518"/>
      <c r="E59" s="518"/>
      <c r="F59" s="518"/>
      <c r="G59" s="518"/>
      <c r="H59" s="518"/>
      <c r="I59" s="518"/>
      <c r="J59" s="518"/>
      <c r="K59" s="518"/>
      <c r="L59" s="518"/>
    </row>
    <row r="60" spans="2:17" ht="7.5" customHeight="1">
      <c r="B60" s="163"/>
      <c r="C60" s="163"/>
      <c r="D60" s="163"/>
      <c r="E60" s="163"/>
      <c r="F60" s="163"/>
      <c r="G60" s="164"/>
      <c r="H60" s="163"/>
      <c r="I60" s="164"/>
      <c r="J60" s="164"/>
      <c r="K60" s="165"/>
      <c r="L60" s="164"/>
    </row>
    <row r="61" spans="2:17" ht="15" customHeight="1">
      <c r="B61" s="499" t="s">
        <v>334</v>
      </c>
      <c r="C61" s="500"/>
      <c r="D61" s="500"/>
      <c r="E61" s="500"/>
      <c r="F61" s="500"/>
      <c r="G61" s="500"/>
      <c r="H61" s="500"/>
      <c r="I61" s="500"/>
      <c r="J61" s="500"/>
      <c r="K61" s="500"/>
      <c r="L61" s="501"/>
      <c r="Q61" s="175"/>
    </row>
    <row r="62" spans="2:17" ht="14.25" customHeight="1">
      <c r="B62" s="64" t="s">
        <v>321</v>
      </c>
      <c r="C62" s="499" t="s">
        <v>324</v>
      </c>
      <c r="D62" s="500"/>
      <c r="E62" s="500"/>
      <c r="F62" s="500"/>
      <c r="G62" s="500"/>
      <c r="H62" s="500"/>
      <c r="I62" s="500"/>
      <c r="J62" s="500"/>
      <c r="K62" s="501"/>
      <c r="L62" s="167" t="s">
        <v>108</v>
      </c>
    </row>
    <row r="63" spans="2:17" ht="15" customHeight="1">
      <c r="B63" s="176" t="s">
        <v>78</v>
      </c>
      <c r="C63" s="329" t="s">
        <v>133</v>
      </c>
      <c r="D63" s="492"/>
      <c r="E63" s="492"/>
      <c r="F63" s="492"/>
      <c r="G63" s="492"/>
      <c r="H63" s="492"/>
      <c r="I63" s="492"/>
      <c r="J63" s="492"/>
      <c r="K63" s="330"/>
      <c r="L63" s="177">
        <f>ROUND((22*2*4.5)-(L28*6%),2)</f>
        <v>112.25</v>
      </c>
    </row>
    <row r="64" spans="2:17" ht="15" customHeight="1">
      <c r="B64" s="176" t="s">
        <v>83</v>
      </c>
      <c r="C64" s="509" t="s">
        <v>376</v>
      </c>
      <c r="D64" s="510"/>
      <c r="E64" s="510"/>
      <c r="F64" s="510"/>
      <c r="G64" s="510"/>
      <c r="H64" s="510"/>
      <c r="I64" s="510"/>
      <c r="J64" s="510"/>
      <c r="K64" s="511"/>
      <c r="L64" s="177">
        <f>ROUND((26*22)*(1-1%),2)</f>
        <v>566.28</v>
      </c>
    </row>
    <row r="65" spans="2:12" ht="15" customHeight="1">
      <c r="B65" s="64" t="s">
        <v>86</v>
      </c>
      <c r="C65" s="329" t="s">
        <v>364</v>
      </c>
      <c r="D65" s="492"/>
      <c r="E65" s="492"/>
      <c r="F65" s="492"/>
      <c r="G65" s="492"/>
      <c r="H65" s="492"/>
      <c r="I65" s="492"/>
      <c r="J65" s="492"/>
      <c r="K65" s="330"/>
      <c r="L65" s="178">
        <v>47.1</v>
      </c>
    </row>
    <row r="66" spans="2:12" ht="15" customHeight="1">
      <c r="B66" s="176" t="s">
        <v>88</v>
      </c>
      <c r="C66" s="138" t="s">
        <v>365</v>
      </c>
      <c r="D66" s="139"/>
      <c r="E66" s="139"/>
      <c r="F66" s="139"/>
      <c r="G66" s="139"/>
      <c r="H66" s="139"/>
      <c r="I66" s="139"/>
      <c r="J66" s="139"/>
      <c r="K66" s="179"/>
      <c r="L66" s="178">
        <v>0</v>
      </c>
    </row>
    <row r="67" spans="2:12" ht="15" customHeight="1">
      <c r="B67" s="176" t="s">
        <v>113</v>
      </c>
      <c r="C67" s="329" t="s">
        <v>359</v>
      </c>
      <c r="D67" s="492"/>
      <c r="E67" s="492"/>
      <c r="F67" s="492"/>
      <c r="G67" s="492"/>
      <c r="H67" s="492"/>
      <c r="I67" s="492"/>
      <c r="J67" s="492"/>
      <c r="K67" s="330"/>
      <c r="L67" s="178">
        <v>100</v>
      </c>
    </row>
    <row r="68" spans="2:12" ht="15" customHeight="1">
      <c r="B68" s="176" t="s">
        <v>122</v>
      </c>
      <c r="C68" s="138" t="s">
        <v>126</v>
      </c>
      <c r="D68" s="139"/>
      <c r="E68" s="139"/>
      <c r="F68" s="139"/>
      <c r="G68" s="139"/>
      <c r="H68" s="139"/>
      <c r="I68" s="139"/>
      <c r="J68" s="139"/>
      <c r="K68" s="179"/>
      <c r="L68" s="178">
        <v>0</v>
      </c>
    </row>
    <row r="69" spans="2:12">
      <c r="B69" s="512" t="s">
        <v>143</v>
      </c>
      <c r="C69" s="512"/>
      <c r="D69" s="512"/>
      <c r="E69" s="512"/>
      <c r="F69" s="512"/>
      <c r="G69" s="512"/>
      <c r="H69" s="512"/>
      <c r="I69" s="512"/>
      <c r="J69" s="512"/>
      <c r="K69" s="512"/>
      <c r="L69" s="171">
        <f>SUM(L63:L68)</f>
        <v>825.63</v>
      </c>
    </row>
    <row r="70" spans="2:12" hidden="1">
      <c r="B70" s="521" t="s">
        <v>530</v>
      </c>
      <c r="C70" s="521"/>
      <c r="D70" s="521"/>
      <c r="E70" s="521"/>
      <c r="F70" s="521"/>
      <c r="G70" s="521"/>
      <c r="H70" s="521"/>
      <c r="I70" s="521"/>
      <c r="J70" s="521"/>
      <c r="K70" s="521"/>
      <c r="L70" s="521"/>
    </row>
    <row r="71" spans="2:12" ht="13.5" hidden="1" customHeight="1">
      <c r="B71" s="522" t="s">
        <v>531</v>
      </c>
      <c r="C71" s="522"/>
      <c r="D71" s="522"/>
      <c r="E71" s="522"/>
      <c r="F71" s="522"/>
      <c r="G71" s="522"/>
      <c r="H71" s="522"/>
      <c r="I71" s="522"/>
      <c r="J71" s="522"/>
      <c r="K71" s="522"/>
      <c r="L71" s="522"/>
    </row>
    <row r="72" spans="2:12" ht="7.5" customHeight="1">
      <c r="B72" s="163"/>
      <c r="C72" s="163"/>
      <c r="D72" s="163"/>
      <c r="E72" s="163"/>
      <c r="F72" s="163"/>
      <c r="G72" s="164"/>
      <c r="H72" s="163"/>
      <c r="I72" s="164"/>
      <c r="J72" s="164"/>
      <c r="K72" s="165"/>
      <c r="L72" s="164"/>
    </row>
    <row r="73" spans="2:12" ht="15" customHeight="1">
      <c r="B73" s="499" t="s">
        <v>325</v>
      </c>
      <c r="C73" s="500"/>
      <c r="D73" s="500"/>
      <c r="E73" s="500"/>
      <c r="F73" s="500"/>
      <c r="G73" s="500"/>
      <c r="H73" s="500"/>
      <c r="I73" s="500"/>
      <c r="J73" s="500"/>
      <c r="K73" s="500"/>
      <c r="L73" s="501"/>
    </row>
    <row r="74" spans="2:12" ht="15" customHeight="1">
      <c r="B74" s="499" t="s">
        <v>320</v>
      </c>
      <c r="C74" s="500"/>
      <c r="D74" s="500"/>
      <c r="E74" s="500"/>
      <c r="F74" s="500"/>
      <c r="G74" s="500"/>
      <c r="H74" s="500"/>
      <c r="I74" s="500"/>
      <c r="J74" s="500"/>
      <c r="K74" s="500"/>
      <c r="L74" s="501"/>
    </row>
    <row r="75" spans="2:12" ht="15" customHeight="1">
      <c r="B75" s="64" t="s">
        <v>316</v>
      </c>
      <c r="C75" s="499" t="s">
        <v>356</v>
      </c>
      <c r="D75" s="500"/>
      <c r="E75" s="500"/>
      <c r="F75" s="500"/>
      <c r="G75" s="500"/>
      <c r="H75" s="500"/>
      <c r="I75" s="500"/>
      <c r="J75" s="500"/>
      <c r="K75" s="501"/>
      <c r="L75" s="167" t="s">
        <v>108</v>
      </c>
    </row>
    <row r="76" spans="2:12" ht="15" customHeight="1">
      <c r="B76" s="64" t="s">
        <v>316</v>
      </c>
      <c r="C76" s="329" t="s">
        <v>323</v>
      </c>
      <c r="D76" s="492"/>
      <c r="E76" s="492"/>
      <c r="F76" s="492"/>
      <c r="G76" s="492"/>
      <c r="H76" s="492"/>
      <c r="I76" s="492"/>
      <c r="J76" s="492"/>
      <c r="K76" s="330"/>
      <c r="L76" s="137">
        <f>L41</f>
        <v>292</v>
      </c>
    </row>
    <row r="77" spans="2:12" ht="15" customHeight="1">
      <c r="B77" s="176" t="s">
        <v>318</v>
      </c>
      <c r="C77" s="329" t="s">
        <v>322</v>
      </c>
      <c r="D77" s="492"/>
      <c r="E77" s="492"/>
      <c r="F77" s="492"/>
      <c r="G77" s="492"/>
      <c r="H77" s="492"/>
      <c r="I77" s="492"/>
      <c r="J77" s="492"/>
      <c r="K77" s="330"/>
      <c r="L77" s="180">
        <f>L56</f>
        <v>615.16999999999996</v>
      </c>
    </row>
    <row r="78" spans="2:12" ht="15" customHeight="1">
      <c r="B78" s="176" t="s">
        <v>321</v>
      </c>
      <c r="C78" s="509" t="s">
        <v>324</v>
      </c>
      <c r="D78" s="510"/>
      <c r="E78" s="510"/>
      <c r="F78" s="510"/>
      <c r="G78" s="510"/>
      <c r="H78" s="510"/>
      <c r="I78" s="510"/>
      <c r="J78" s="510"/>
      <c r="K78" s="511"/>
      <c r="L78" s="181">
        <f>L69</f>
        <v>825.63</v>
      </c>
    </row>
    <row r="79" spans="2:12" ht="15" customHeight="1">
      <c r="B79" s="499" t="s">
        <v>57</v>
      </c>
      <c r="C79" s="500"/>
      <c r="D79" s="500"/>
      <c r="E79" s="500"/>
      <c r="F79" s="500"/>
      <c r="G79" s="500"/>
      <c r="H79" s="500"/>
      <c r="I79" s="500"/>
      <c r="J79" s="500"/>
      <c r="K79" s="501"/>
      <c r="L79" s="171">
        <f>SUM(L76:L78)</f>
        <v>1732.8</v>
      </c>
    </row>
    <row r="80" spans="2:12" ht="7.5" customHeight="1">
      <c r="B80" s="163"/>
      <c r="C80" s="163"/>
      <c r="D80" s="163"/>
      <c r="E80" s="163"/>
      <c r="F80" s="163"/>
      <c r="G80" s="164"/>
      <c r="H80" s="163"/>
      <c r="I80" s="164"/>
      <c r="J80" s="164"/>
      <c r="K80" s="165"/>
      <c r="L80" s="164"/>
    </row>
    <row r="81" spans="2:15" ht="15" customHeight="1">
      <c r="B81" s="499" t="s">
        <v>369</v>
      </c>
      <c r="C81" s="500"/>
      <c r="D81" s="500"/>
      <c r="E81" s="500"/>
      <c r="F81" s="500"/>
      <c r="G81" s="500"/>
      <c r="H81" s="500"/>
      <c r="I81" s="500"/>
      <c r="J81" s="500"/>
      <c r="K81" s="500"/>
      <c r="L81" s="501"/>
    </row>
    <row r="82" spans="2:15" ht="15" customHeight="1">
      <c r="B82" s="499" t="s">
        <v>326</v>
      </c>
      <c r="C82" s="500"/>
      <c r="D82" s="500"/>
      <c r="E82" s="500"/>
      <c r="F82" s="500"/>
      <c r="G82" s="500"/>
      <c r="H82" s="500"/>
      <c r="I82" s="500"/>
      <c r="J82" s="500"/>
      <c r="K82" s="500"/>
      <c r="L82" s="501"/>
    </row>
    <row r="83" spans="2:15">
      <c r="B83" s="64">
        <v>3</v>
      </c>
      <c r="C83" s="499" t="s">
        <v>190</v>
      </c>
      <c r="D83" s="500"/>
      <c r="E83" s="500"/>
      <c r="F83" s="500"/>
      <c r="G83" s="500"/>
      <c r="H83" s="500"/>
      <c r="I83" s="500"/>
      <c r="J83" s="501"/>
      <c r="K83" s="172" t="s">
        <v>166</v>
      </c>
      <c r="L83" s="167" t="s">
        <v>108</v>
      </c>
    </row>
    <row r="84" spans="2:15" ht="15" customHeight="1">
      <c r="B84" s="64" t="s">
        <v>78</v>
      </c>
      <c r="C84" s="329" t="s">
        <v>192</v>
      </c>
      <c r="D84" s="492"/>
      <c r="E84" s="492"/>
      <c r="F84" s="492"/>
      <c r="G84" s="492"/>
      <c r="H84" s="492"/>
      <c r="I84" s="492"/>
      <c r="J84" s="330"/>
      <c r="K84" s="136">
        <v>4.1999999999999997E-3</v>
      </c>
      <c r="L84" s="137">
        <f>ROUND(K84*$L$34,2)</f>
        <v>6</v>
      </c>
      <c r="N84" s="182"/>
      <c r="O84" s="183"/>
    </row>
    <row r="85" spans="2:15" ht="15" customHeight="1">
      <c r="B85" s="64" t="s">
        <v>83</v>
      </c>
      <c r="C85" s="509" t="s">
        <v>193</v>
      </c>
      <c r="D85" s="510"/>
      <c r="E85" s="510"/>
      <c r="F85" s="510"/>
      <c r="G85" s="510"/>
      <c r="H85" s="510"/>
      <c r="I85" s="510"/>
      <c r="J85" s="511"/>
      <c r="K85" s="136">
        <v>2.9999999999999997E-4</v>
      </c>
      <c r="L85" s="137">
        <f t="shared" ref="L85:L89" si="2">ROUND(K85*$L$34,2)</f>
        <v>0.43</v>
      </c>
      <c r="N85" s="182"/>
      <c r="O85" s="183"/>
    </row>
    <row r="86" spans="2:15" ht="15" customHeight="1">
      <c r="B86" s="64" t="s">
        <v>86</v>
      </c>
      <c r="C86" s="329" t="s">
        <v>194</v>
      </c>
      <c r="D86" s="492"/>
      <c r="E86" s="492"/>
      <c r="F86" s="492"/>
      <c r="G86" s="492"/>
      <c r="H86" s="492"/>
      <c r="I86" s="492"/>
      <c r="J86" s="330"/>
      <c r="K86" s="136">
        <v>1.6999999999999999E-3</v>
      </c>
      <c r="L86" s="137">
        <f t="shared" si="2"/>
        <v>2.4300000000000002</v>
      </c>
      <c r="N86" s="182"/>
      <c r="O86" s="183"/>
    </row>
    <row r="87" spans="2:15" ht="15" customHeight="1">
      <c r="B87" s="64" t="s">
        <v>88</v>
      </c>
      <c r="C87" s="523" t="s">
        <v>195</v>
      </c>
      <c r="D87" s="524"/>
      <c r="E87" s="524"/>
      <c r="F87" s="524"/>
      <c r="G87" s="524"/>
      <c r="H87" s="524"/>
      <c r="I87" s="524"/>
      <c r="J87" s="525"/>
      <c r="K87" s="173">
        <v>1.9400000000000001E-2</v>
      </c>
      <c r="L87" s="137">
        <f t="shared" si="2"/>
        <v>27.73</v>
      </c>
      <c r="N87" s="182"/>
      <c r="O87" s="183"/>
    </row>
    <row r="88" spans="2:15" ht="15" customHeight="1">
      <c r="B88" s="64" t="s">
        <v>113</v>
      </c>
      <c r="C88" s="509" t="s">
        <v>327</v>
      </c>
      <c r="D88" s="510"/>
      <c r="E88" s="510"/>
      <c r="F88" s="510"/>
      <c r="G88" s="510"/>
      <c r="H88" s="510"/>
      <c r="I88" s="510"/>
      <c r="J88" s="511"/>
      <c r="K88" s="136">
        <v>6.8999999999999999E-3</v>
      </c>
      <c r="L88" s="137">
        <f t="shared" si="2"/>
        <v>9.86</v>
      </c>
      <c r="N88" s="182"/>
      <c r="O88" s="183"/>
    </row>
    <row r="89" spans="2:15" ht="15" customHeight="1">
      <c r="B89" s="176" t="s">
        <v>116</v>
      </c>
      <c r="C89" s="329" t="s">
        <v>197</v>
      </c>
      <c r="D89" s="492"/>
      <c r="E89" s="492"/>
      <c r="F89" s="492"/>
      <c r="G89" s="492"/>
      <c r="H89" s="492"/>
      <c r="I89" s="492"/>
      <c r="J89" s="330"/>
      <c r="K89" s="136">
        <v>3.2000000000000001E-2</v>
      </c>
      <c r="L89" s="137">
        <f t="shared" si="2"/>
        <v>45.74</v>
      </c>
      <c r="N89" s="182"/>
      <c r="O89" s="183"/>
    </row>
    <row r="90" spans="2:15" ht="17.25" customHeight="1">
      <c r="B90" s="499" t="s">
        <v>57</v>
      </c>
      <c r="C90" s="500"/>
      <c r="D90" s="500"/>
      <c r="E90" s="500"/>
      <c r="F90" s="500"/>
      <c r="G90" s="500"/>
      <c r="H90" s="500"/>
      <c r="I90" s="500"/>
      <c r="J90" s="501"/>
      <c r="K90" s="173">
        <f>SUM(K84:K89)</f>
        <v>6.4500000000000002E-2</v>
      </c>
      <c r="L90" s="171">
        <f>SUM(L84:L89)</f>
        <v>92.19</v>
      </c>
      <c r="N90" s="182"/>
      <c r="O90" s="183"/>
    </row>
    <row r="91" spans="2:15" ht="38.25" hidden="1" customHeight="1">
      <c r="B91" s="518" t="s">
        <v>532</v>
      </c>
      <c r="C91" s="518"/>
      <c r="D91" s="518"/>
      <c r="E91" s="518"/>
      <c r="F91" s="518"/>
      <c r="G91" s="518"/>
      <c r="H91" s="518"/>
      <c r="I91" s="518"/>
      <c r="J91" s="518"/>
      <c r="K91" s="518"/>
      <c r="L91" s="518"/>
    </row>
    <row r="92" spans="2:15" ht="8.25" customHeight="1">
      <c r="B92" s="163"/>
      <c r="C92" s="163"/>
      <c r="D92" s="163"/>
      <c r="E92" s="163"/>
      <c r="F92" s="163"/>
      <c r="G92" s="164"/>
      <c r="H92" s="163"/>
      <c r="I92" s="164"/>
      <c r="J92" s="164"/>
      <c r="K92" s="165"/>
      <c r="L92" s="164"/>
    </row>
    <row r="93" spans="2:15" ht="15" customHeight="1">
      <c r="B93" s="512" t="s">
        <v>328</v>
      </c>
      <c r="C93" s="512"/>
      <c r="D93" s="512"/>
      <c r="E93" s="512"/>
      <c r="F93" s="512"/>
      <c r="G93" s="512"/>
      <c r="H93" s="512"/>
      <c r="I93" s="512"/>
      <c r="J93" s="512"/>
      <c r="K93" s="512"/>
      <c r="L93" s="512"/>
    </row>
    <row r="94" spans="2:15" ht="15" customHeight="1">
      <c r="B94" s="499" t="s">
        <v>370</v>
      </c>
      <c r="C94" s="500"/>
      <c r="D94" s="500"/>
      <c r="E94" s="500"/>
      <c r="F94" s="500"/>
      <c r="G94" s="500"/>
      <c r="H94" s="500"/>
      <c r="I94" s="500"/>
      <c r="J94" s="500"/>
      <c r="K94" s="500"/>
      <c r="L94" s="501"/>
    </row>
    <row r="95" spans="2:15" ht="15" customHeight="1">
      <c r="B95" s="64" t="s">
        <v>165</v>
      </c>
      <c r="C95" s="499" t="s">
        <v>332</v>
      </c>
      <c r="D95" s="500"/>
      <c r="E95" s="500"/>
      <c r="F95" s="500"/>
      <c r="G95" s="500"/>
      <c r="H95" s="500"/>
      <c r="I95" s="500"/>
      <c r="J95" s="501"/>
      <c r="K95" s="172" t="s">
        <v>166</v>
      </c>
      <c r="L95" s="167" t="s">
        <v>108</v>
      </c>
    </row>
    <row r="96" spans="2:15" ht="15" customHeight="1">
      <c r="B96" s="64" t="s">
        <v>78</v>
      </c>
      <c r="C96" s="329" t="s">
        <v>477</v>
      </c>
      <c r="D96" s="492"/>
      <c r="E96" s="492"/>
      <c r="F96" s="492"/>
      <c r="G96" s="492"/>
      <c r="H96" s="492"/>
      <c r="I96" s="492"/>
      <c r="J96" s="330"/>
      <c r="K96" s="136">
        <v>9.2999999999999992E-3</v>
      </c>
      <c r="L96" s="184">
        <f>ROUND(K96*$L$34,2)</f>
        <v>13.29</v>
      </c>
    </row>
    <row r="97" spans="2:13" ht="15" customHeight="1">
      <c r="B97" s="64" t="s">
        <v>83</v>
      </c>
      <c r="C97" s="509" t="s">
        <v>207</v>
      </c>
      <c r="D97" s="510"/>
      <c r="E97" s="510"/>
      <c r="F97" s="510"/>
      <c r="G97" s="510"/>
      <c r="H97" s="510"/>
      <c r="I97" s="510"/>
      <c r="J97" s="511"/>
      <c r="K97" s="136">
        <v>5.0000000000000001E-4</v>
      </c>
      <c r="L97" s="184">
        <f t="shared" ref="L97:L102" si="3">ROUND(K97*$L$34,2)</f>
        <v>0.71</v>
      </c>
    </row>
    <row r="98" spans="2:13" ht="15" customHeight="1">
      <c r="B98" s="64" t="s">
        <v>86</v>
      </c>
      <c r="C98" s="329" t="s">
        <v>478</v>
      </c>
      <c r="D98" s="492"/>
      <c r="E98" s="492"/>
      <c r="F98" s="492"/>
      <c r="G98" s="492"/>
      <c r="H98" s="492"/>
      <c r="I98" s="492"/>
      <c r="J98" s="330"/>
      <c r="K98" s="136">
        <v>5.0000000000000001E-4</v>
      </c>
      <c r="L98" s="184">
        <f t="shared" si="3"/>
        <v>0.71</v>
      </c>
    </row>
    <row r="99" spans="2:13" ht="15" customHeight="1">
      <c r="B99" s="64" t="s">
        <v>88</v>
      </c>
      <c r="C99" s="329" t="s">
        <v>479</v>
      </c>
      <c r="D99" s="492"/>
      <c r="E99" s="492"/>
      <c r="F99" s="492"/>
      <c r="G99" s="492"/>
      <c r="H99" s="492"/>
      <c r="I99" s="492"/>
      <c r="J99" s="330"/>
      <c r="K99" s="136">
        <v>5.0000000000000001E-4</v>
      </c>
      <c r="L99" s="184">
        <f t="shared" si="3"/>
        <v>0.71</v>
      </c>
    </row>
    <row r="100" spans="2:13" ht="15" customHeight="1">
      <c r="B100" s="64" t="s">
        <v>113</v>
      </c>
      <c r="C100" s="329" t="s">
        <v>480</v>
      </c>
      <c r="D100" s="492"/>
      <c r="E100" s="492"/>
      <c r="F100" s="492"/>
      <c r="G100" s="492"/>
      <c r="H100" s="492"/>
      <c r="I100" s="492"/>
      <c r="J100" s="330"/>
      <c r="K100" s="136">
        <v>5.0000000000000001E-4</v>
      </c>
      <c r="L100" s="184">
        <f t="shared" si="3"/>
        <v>0.71</v>
      </c>
    </row>
    <row r="101" spans="2:13" ht="15" customHeight="1">
      <c r="B101" s="176" t="s">
        <v>116</v>
      </c>
      <c r="C101" s="329" t="s">
        <v>368</v>
      </c>
      <c r="D101" s="492"/>
      <c r="E101" s="492"/>
      <c r="F101" s="492"/>
      <c r="G101" s="492"/>
      <c r="H101" s="492"/>
      <c r="I101" s="492"/>
      <c r="J101" s="330"/>
      <c r="K101" s="136">
        <v>0</v>
      </c>
      <c r="L101" s="184">
        <f t="shared" si="3"/>
        <v>0</v>
      </c>
    </row>
    <row r="102" spans="2:13" ht="15" customHeight="1">
      <c r="B102" s="499" t="s">
        <v>183</v>
      </c>
      <c r="C102" s="500"/>
      <c r="D102" s="500"/>
      <c r="E102" s="500"/>
      <c r="F102" s="500"/>
      <c r="G102" s="500"/>
      <c r="H102" s="500"/>
      <c r="I102" s="500"/>
      <c r="J102" s="501"/>
      <c r="K102" s="173">
        <f>SUM(K96:K101)</f>
        <v>1.1299999999999999E-2</v>
      </c>
      <c r="L102" s="171">
        <f t="shared" si="3"/>
        <v>16.149999999999999</v>
      </c>
      <c r="M102" s="185"/>
    </row>
    <row r="103" spans="2:13" ht="22.5" hidden="1" customHeight="1">
      <c r="B103" s="526" t="s">
        <v>333</v>
      </c>
      <c r="C103" s="526"/>
      <c r="D103" s="526"/>
      <c r="E103" s="526"/>
      <c r="F103" s="526"/>
      <c r="G103" s="526"/>
      <c r="H103" s="526"/>
      <c r="I103" s="526"/>
      <c r="J103" s="526"/>
      <c r="K103" s="526"/>
      <c r="L103" s="526"/>
    </row>
    <row r="104" spans="2:13" ht="7.5" customHeight="1">
      <c r="B104" s="163"/>
      <c r="C104" s="163"/>
      <c r="D104" s="163"/>
      <c r="E104" s="163"/>
      <c r="F104" s="163"/>
      <c r="G104" s="164"/>
      <c r="H104" s="163"/>
      <c r="I104" s="164"/>
      <c r="J104" s="164"/>
      <c r="K104" s="165"/>
      <c r="L104" s="164"/>
    </row>
    <row r="105" spans="2:13" ht="15" customHeight="1">
      <c r="B105" s="512" t="s">
        <v>371</v>
      </c>
      <c r="C105" s="512"/>
      <c r="D105" s="512"/>
      <c r="E105" s="512"/>
      <c r="F105" s="512"/>
      <c r="G105" s="512"/>
      <c r="H105" s="512"/>
      <c r="I105" s="512"/>
      <c r="J105" s="512"/>
      <c r="K105" s="512"/>
      <c r="L105" s="512"/>
    </row>
    <row r="106" spans="2:13" ht="15" customHeight="1">
      <c r="B106" s="64" t="s">
        <v>179</v>
      </c>
      <c r="C106" s="499" t="s">
        <v>329</v>
      </c>
      <c r="D106" s="500"/>
      <c r="E106" s="500"/>
      <c r="F106" s="500"/>
      <c r="G106" s="500"/>
      <c r="H106" s="500"/>
      <c r="I106" s="500"/>
      <c r="J106" s="500"/>
      <c r="K106" s="501"/>
      <c r="L106" s="167" t="s">
        <v>108</v>
      </c>
    </row>
    <row r="107" spans="2:13" ht="18" customHeight="1">
      <c r="B107" s="176" t="s">
        <v>78</v>
      </c>
      <c r="C107" s="509" t="s">
        <v>372</v>
      </c>
      <c r="D107" s="510"/>
      <c r="E107" s="510"/>
      <c r="F107" s="510"/>
      <c r="G107" s="510"/>
      <c r="H107" s="510"/>
      <c r="I107" s="510"/>
      <c r="J107" s="510"/>
      <c r="K107" s="511"/>
      <c r="L107" s="186">
        <f>(((L28+L29+L30+L31)/220)+((L28+L29+L30+L31)/220)*50%)*22*0</f>
        <v>0</v>
      </c>
    </row>
    <row r="108" spans="2:13" ht="15" customHeight="1">
      <c r="B108" s="499" t="s">
        <v>57</v>
      </c>
      <c r="C108" s="500"/>
      <c r="D108" s="500"/>
      <c r="E108" s="500"/>
      <c r="F108" s="500"/>
      <c r="G108" s="500"/>
      <c r="H108" s="500"/>
      <c r="I108" s="500"/>
      <c r="J108" s="500"/>
      <c r="K108" s="501"/>
      <c r="L108" s="171">
        <f>SUM(L106:L107)</f>
        <v>0</v>
      </c>
    </row>
    <row r="109" spans="2:13" ht="6" customHeight="1"/>
    <row r="110" spans="2:13" ht="27" hidden="1" customHeight="1">
      <c r="B110" s="190" t="s">
        <v>145</v>
      </c>
      <c r="C110" s="191"/>
      <c r="D110" s="191"/>
      <c r="E110" s="191"/>
      <c r="F110" s="191"/>
      <c r="G110" s="509" t="s">
        <v>198</v>
      </c>
      <c r="H110" s="510"/>
      <c r="I110" s="510"/>
      <c r="J110" s="510"/>
      <c r="K110" s="510"/>
      <c r="L110" s="511"/>
    </row>
    <row r="111" spans="2:13" ht="24.75" hidden="1" customHeight="1">
      <c r="B111" s="190" t="s">
        <v>148</v>
      </c>
      <c r="C111" s="191"/>
      <c r="D111" s="191"/>
      <c r="E111" s="191"/>
      <c r="F111" s="191"/>
      <c r="G111" s="509" t="s">
        <v>199</v>
      </c>
      <c r="H111" s="510"/>
      <c r="I111" s="510"/>
      <c r="J111" s="510"/>
      <c r="K111" s="510"/>
      <c r="L111" s="511"/>
    </row>
    <row r="112" spans="2:13" ht="6" customHeight="1"/>
    <row r="113" spans="2:14" ht="16.5" customHeight="1">
      <c r="B113" s="502" t="s">
        <v>533</v>
      </c>
      <c r="C113" s="503"/>
      <c r="D113" s="503"/>
      <c r="E113" s="503"/>
      <c r="F113" s="503"/>
      <c r="G113" s="503"/>
      <c r="H113" s="503"/>
      <c r="I113" s="503"/>
      <c r="J113" s="503"/>
      <c r="K113" s="503"/>
      <c r="L113" s="504"/>
    </row>
    <row r="114" spans="2:14" ht="15" customHeight="1">
      <c r="B114" s="499" t="s">
        <v>330</v>
      </c>
      <c r="C114" s="500"/>
      <c r="D114" s="500"/>
      <c r="E114" s="500"/>
      <c r="F114" s="500"/>
      <c r="G114" s="500"/>
      <c r="H114" s="500"/>
      <c r="I114" s="500"/>
      <c r="J114" s="500"/>
      <c r="K114" s="500"/>
      <c r="L114" s="501"/>
    </row>
    <row r="115" spans="2:14" ht="15" customHeight="1">
      <c r="B115" s="64" t="s">
        <v>165</v>
      </c>
      <c r="C115" s="499" t="s">
        <v>331</v>
      </c>
      <c r="D115" s="500"/>
      <c r="E115" s="500"/>
      <c r="F115" s="500"/>
      <c r="G115" s="500"/>
      <c r="H115" s="500"/>
      <c r="I115" s="500"/>
      <c r="J115" s="500"/>
      <c r="K115" s="501"/>
      <c r="L115" s="167" t="s">
        <v>108</v>
      </c>
    </row>
    <row r="116" spans="2:14" ht="15" customHeight="1">
      <c r="B116" s="64" t="s">
        <v>165</v>
      </c>
      <c r="C116" s="329" t="s">
        <v>367</v>
      </c>
      <c r="D116" s="492"/>
      <c r="E116" s="492"/>
      <c r="F116" s="492"/>
      <c r="G116" s="492"/>
      <c r="H116" s="492"/>
      <c r="I116" s="492"/>
      <c r="J116" s="492"/>
      <c r="K116" s="330"/>
      <c r="L116" s="137">
        <f>L102</f>
        <v>16.149999999999999</v>
      </c>
    </row>
    <row r="117" spans="2:14" ht="15" customHeight="1">
      <c r="B117" s="176" t="s">
        <v>179</v>
      </c>
      <c r="C117" s="329" t="s">
        <v>373</v>
      </c>
      <c r="D117" s="492"/>
      <c r="E117" s="492"/>
      <c r="F117" s="492"/>
      <c r="G117" s="492"/>
      <c r="H117" s="492"/>
      <c r="I117" s="492"/>
      <c r="J117" s="492"/>
      <c r="K117" s="330"/>
      <c r="L117" s="180">
        <f>L108</f>
        <v>0</v>
      </c>
    </row>
    <row r="118" spans="2:14" ht="15" customHeight="1">
      <c r="B118" s="499" t="s">
        <v>57</v>
      </c>
      <c r="C118" s="500"/>
      <c r="D118" s="500"/>
      <c r="E118" s="500"/>
      <c r="F118" s="500"/>
      <c r="G118" s="500"/>
      <c r="H118" s="500"/>
      <c r="I118" s="500"/>
      <c r="J118" s="500"/>
      <c r="K118" s="501"/>
      <c r="L118" s="171">
        <f>SUM(L116:L117)</f>
        <v>16.149999999999999</v>
      </c>
    </row>
    <row r="119" spans="2:14" ht="15" customHeight="1">
      <c r="B119" s="512" t="s">
        <v>328</v>
      </c>
      <c r="C119" s="512"/>
      <c r="D119" s="512"/>
      <c r="E119" s="512"/>
      <c r="F119" s="512"/>
      <c r="G119" s="512"/>
      <c r="H119" s="512"/>
      <c r="I119" s="512"/>
      <c r="J119" s="512"/>
      <c r="K119" s="512"/>
      <c r="L119" s="512"/>
    </row>
    <row r="120" spans="2:14" ht="8.25" customHeight="1"/>
    <row r="121" spans="2:14" ht="14.25" customHeight="1">
      <c r="B121" s="499" t="s">
        <v>335</v>
      </c>
      <c r="C121" s="500"/>
      <c r="D121" s="500"/>
      <c r="E121" s="500"/>
      <c r="F121" s="500"/>
      <c r="G121" s="500"/>
      <c r="H121" s="500"/>
      <c r="I121" s="500"/>
      <c r="J121" s="500"/>
      <c r="K121" s="500"/>
      <c r="L121" s="501"/>
    </row>
    <row r="122" spans="2:14" ht="15" customHeight="1">
      <c r="B122" s="64" t="s">
        <v>336</v>
      </c>
      <c r="C122" s="499" t="s">
        <v>155</v>
      </c>
      <c r="D122" s="500"/>
      <c r="E122" s="500"/>
      <c r="F122" s="500"/>
      <c r="G122" s="500"/>
      <c r="H122" s="500"/>
      <c r="I122" s="500"/>
      <c r="J122" s="500"/>
      <c r="K122" s="501"/>
      <c r="L122" s="167" t="s">
        <v>108</v>
      </c>
    </row>
    <row r="123" spans="2:14" ht="15" customHeight="1">
      <c r="B123" s="64" t="s">
        <v>78</v>
      </c>
      <c r="C123" s="329" t="s">
        <v>156</v>
      </c>
      <c r="D123" s="492"/>
      <c r="E123" s="492"/>
      <c r="F123" s="492"/>
      <c r="G123" s="492"/>
      <c r="H123" s="492"/>
      <c r="I123" s="492"/>
      <c r="J123" s="492"/>
      <c r="K123" s="330"/>
      <c r="L123" s="137">
        <f>'UNIFORMES E EPI'!F21</f>
        <v>142.68</v>
      </c>
    </row>
    <row r="124" spans="2:14" ht="15" customHeight="1">
      <c r="B124" s="64" t="s">
        <v>83</v>
      </c>
      <c r="C124" s="329" t="s">
        <v>157</v>
      </c>
      <c r="D124" s="492"/>
      <c r="E124" s="492"/>
      <c r="F124" s="492"/>
      <c r="G124" s="492"/>
      <c r="H124" s="492"/>
      <c r="I124" s="492"/>
      <c r="J124" s="492"/>
      <c r="K124" s="330"/>
      <c r="L124" s="137" cm="1">
        <f t="array" ref="L124:N124">'MATERIAIS E EQUIP'!E45:G45</f>
        <v>1252.3800000000001</v>
      </c>
      <c r="M124" s="63">
        <v>0</v>
      </c>
      <c r="N124" s="63">
        <v>0</v>
      </c>
    </row>
    <row r="125" spans="2:14" ht="15" customHeight="1">
      <c r="B125" s="64" t="s">
        <v>86</v>
      </c>
      <c r="C125" s="329" t="s">
        <v>158</v>
      </c>
      <c r="D125" s="492"/>
      <c r="E125" s="492"/>
      <c r="F125" s="492"/>
      <c r="G125" s="492"/>
      <c r="H125" s="492"/>
      <c r="I125" s="492"/>
      <c r="J125" s="492"/>
      <c r="K125" s="330"/>
      <c r="L125" s="137">
        <f>'MATERIAIS E EQUIP'!L19</f>
        <v>176.55</v>
      </c>
    </row>
    <row r="126" spans="2:14" ht="15" customHeight="1">
      <c r="B126" s="176" t="s">
        <v>116</v>
      </c>
      <c r="C126" s="509" t="s">
        <v>141</v>
      </c>
      <c r="D126" s="510"/>
      <c r="E126" s="510"/>
      <c r="F126" s="510"/>
      <c r="G126" s="510"/>
      <c r="H126" s="510"/>
      <c r="I126" s="510"/>
      <c r="J126" s="510"/>
      <c r="K126" s="511"/>
      <c r="L126" s="192">
        <v>8</v>
      </c>
      <c r="M126" s="195"/>
    </row>
    <row r="127" spans="2:14" ht="15" customHeight="1">
      <c r="B127" s="512" t="s">
        <v>159</v>
      </c>
      <c r="C127" s="512"/>
      <c r="D127" s="512"/>
      <c r="E127" s="512"/>
      <c r="F127" s="512"/>
      <c r="G127" s="512"/>
      <c r="H127" s="512"/>
      <c r="I127" s="512"/>
      <c r="J127" s="512"/>
      <c r="K127" s="512"/>
      <c r="L127" s="171">
        <f>SUM(L123:L126)</f>
        <v>1579.61</v>
      </c>
    </row>
    <row r="128" spans="2:14" hidden="1">
      <c r="B128" s="531" t="s">
        <v>534</v>
      </c>
      <c r="C128" s="531"/>
      <c r="D128" s="531"/>
      <c r="E128" s="531"/>
      <c r="F128" s="531"/>
      <c r="G128" s="531"/>
      <c r="H128" s="531"/>
      <c r="I128" s="531"/>
      <c r="J128" s="531"/>
      <c r="K128" s="531"/>
      <c r="L128" s="531"/>
    </row>
    <row r="130" spans="2:12" ht="15" customHeight="1">
      <c r="B130" s="499" t="s">
        <v>338</v>
      </c>
      <c r="C130" s="500"/>
      <c r="D130" s="500"/>
      <c r="E130" s="500"/>
      <c r="F130" s="500"/>
      <c r="G130" s="500"/>
      <c r="H130" s="500"/>
      <c r="I130" s="500"/>
      <c r="J130" s="500"/>
      <c r="K130" s="500"/>
      <c r="L130" s="501"/>
    </row>
    <row r="131" spans="2:12" ht="15" customHeight="1">
      <c r="B131" s="64">
        <v>5</v>
      </c>
      <c r="C131" s="499" t="s">
        <v>216</v>
      </c>
      <c r="D131" s="500"/>
      <c r="E131" s="500"/>
      <c r="F131" s="500"/>
      <c r="G131" s="500"/>
      <c r="H131" s="500"/>
      <c r="I131" s="500"/>
      <c r="J131" s="501"/>
      <c r="K131" s="172" t="s">
        <v>166</v>
      </c>
      <c r="L131" s="167" t="s">
        <v>108</v>
      </c>
    </row>
    <row r="132" spans="2:12" ht="15" customHeight="1">
      <c r="B132" s="64" t="s">
        <v>78</v>
      </c>
      <c r="C132" s="329" t="s">
        <v>217</v>
      </c>
      <c r="D132" s="492"/>
      <c r="E132" s="492"/>
      <c r="F132" s="492"/>
      <c r="G132" s="492"/>
      <c r="H132" s="492"/>
      <c r="I132" s="492"/>
      <c r="J132" s="330"/>
      <c r="K132" s="168">
        <f>ENCARREGADO!K132</f>
        <v>0.05</v>
      </c>
      <c r="L132" s="137">
        <f>ROUND(K132*L152,2)</f>
        <v>242.5</v>
      </c>
    </row>
    <row r="133" spans="2:12" ht="15" customHeight="1">
      <c r="B133" s="64" t="s">
        <v>83</v>
      </c>
      <c r="C133" s="329" t="s">
        <v>218</v>
      </c>
      <c r="D133" s="492"/>
      <c r="E133" s="492"/>
      <c r="F133" s="492"/>
      <c r="G133" s="492"/>
      <c r="H133" s="492"/>
      <c r="I133" s="492"/>
      <c r="J133" s="330"/>
      <c r="K133" s="168">
        <f>ENCARREGADO!K133</f>
        <v>0.05</v>
      </c>
      <c r="L133" s="137">
        <f>ROUND((L132+L152)*K133,2)</f>
        <v>254.62</v>
      </c>
    </row>
    <row r="134" spans="2:12" ht="15" customHeight="1">
      <c r="B134" s="502" t="s">
        <v>219</v>
      </c>
      <c r="C134" s="503"/>
      <c r="D134" s="503"/>
      <c r="E134" s="503"/>
      <c r="F134" s="503"/>
      <c r="G134" s="503"/>
      <c r="H134" s="503"/>
      <c r="I134" s="503"/>
      <c r="J134" s="504"/>
      <c r="K134" s="173"/>
      <c r="L134" s="171">
        <f>SUM(L132:L133)</f>
        <v>497.12</v>
      </c>
    </row>
    <row r="135" spans="2:12" ht="15" customHeight="1">
      <c r="B135" s="527" t="s">
        <v>86</v>
      </c>
      <c r="C135" s="512" t="s">
        <v>220</v>
      </c>
      <c r="D135" s="512"/>
      <c r="E135" s="512"/>
      <c r="F135" s="512"/>
      <c r="G135" s="512"/>
      <c r="H135" s="512"/>
      <c r="I135" s="512"/>
      <c r="J135" s="512"/>
      <c r="K135" s="512"/>
      <c r="L135" s="512"/>
    </row>
    <row r="136" spans="2:12" ht="15" customHeight="1">
      <c r="B136" s="528"/>
      <c r="C136" s="530" t="s">
        <v>360</v>
      </c>
      <c r="D136" s="530"/>
      <c r="E136" s="530"/>
      <c r="F136" s="530"/>
      <c r="G136" s="530"/>
      <c r="H136" s="530"/>
      <c r="I136" s="530"/>
      <c r="J136" s="193" t="s">
        <v>222</v>
      </c>
      <c r="K136" s="136">
        <v>0.03</v>
      </c>
      <c r="L136" s="137">
        <f>((L152+L132+L133)/(1-(K136+K137+K138))*K136)</f>
        <v>175.6</v>
      </c>
    </row>
    <row r="137" spans="2:12" ht="15" customHeight="1">
      <c r="B137" s="528"/>
      <c r="C137" s="530"/>
      <c r="D137" s="530"/>
      <c r="E137" s="530"/>
      <c r="F137" s="530"/>
      <c r="G137" s="530"/>
      <c r="H137" s="530"/>
      <c r="I137" s="530"/>
      <c r="J137" s="193" t="s">
        <v>223</v>
      </c>
      <c r="K137" s="136">
        <v>6.4999999999999997E-3</v>
      </c>
      <c r="L137" s="137">
        <f>((L152+L132+L133)/(1-(K136+K137+K138))*K137)</f>
        <v>38.049999999999997</v>
      </c>
    </row>
    <row r="138" spans="2:12" ht="15" customHeight="1">
      <c r="B138" s="528"/>
      <c r="C138" s="530" t="s">
        <v>361</v>
      </c>
      <c r="D138" s="530"/>
      <c r="E138" s="530"/>
      <c r="F138" s="530"/>
      <c r="G138" s="530"/>
      <c r="H138" s="530"/>
      <c r="I138" s="530"/>
      <c r="J138" s="193" t="s">
        <v>225</v>
      </c>
      <c r="K138" s="136">
        <v>0.05</v>
      </c>
      <c r="L138" s="137">
        <f>((L152+L132+L133)/(1-(K136+K137+K138))*K138)</f>
        <v>292.67</v>
      </c>
    </row>
    <row r="139" spans="2:12" ht="15" customHeight="1">
      <c r="B139" s="529"/>
      <c r="C139" s="530" t="s">
        <v>362</v>
      </c>
      <c r="D139" s="530"/>
      <c r="E139" s="530"/>
      <c r="F139" s="530"/>
      <c r="G139" s="530"/>
      <c r="H139" s="530"/>
      <c r="I139" s="530"/>
      <c r="J139" s="193"/>
      <c r="K139" s="136">
        <v>0</v>
      </c>
      <c r="L139" s="137">
        <f>((L152+L132+L133)/(1-(K136+K137+K138+K139))*K139)</f>
        <v>0</v>
      </c>
    </row>
    <row r="140" spans="2:12" ht="15" customHeight="1">
      <c r="B140" s="502" t="s">
        <v>227</v>
      </c>
      <c r="C140" s="503"/>
      <c r="D140" s="503"/>
      <c r="E140" s="503"/>
      <c r="F140" s="503"/>
      <c r="G140" s="503"/>
      <c r="H140" s="503"/>
      <c r="I140" s="504"/>
      <c r="J140" s="194"/>
      <c r="K140" s="173">
        <f>SUM(K136:K139)</f>
        <v>8.6499999999999994E-2</v>
      </c>
      <c r="L140" s="171">
        <f>SUM(L136:L139)</f>
        <v>506.32</v>
      </c>
    </row>
    <row r="141" spans="2:12">
      <c r="B141" s="512" t="s">
        <v>57</v>
      </c>
      <c r="C141" s="512"/>
      <c r="D141" s="512"/>
      <c r="E141" s="512"/>
      <c r="F141" s="512"/>
      <c r="G141" s="512"/>
      <c r="H141" s="512"/>
      <c r="I141" s="512"/>
      <c r="J141" s="64"/>
      <c r="K141" s="173">
        <f>K134+K140</f>
        <v>8.6499999999999994E-2</v>
      </c>
      <c r="L141" s="174">
        <f>SUM(L140,L134)</f>
        <v>1003.44</v>
      </c>
    </row>
    <row r="142" spans="2:12" ht="12" hidden="1" customHeight="1">
      <c r="B142" s="532" t="s">
        <v>535</v>
      </c>
      <c r="C142" s="532"/>
      <c r="D142" s="532"/>
      <c r="E142" s="532"/>
      <c r="F142" s="532"/>
      <c r="G142" s="532"/>
      <c r="H142" s="532"/>
      <c r="I142" s="532"/>
      <c r="J142" s="532"/>
      <c r="K142" s="532"/>
      <c r="L142" s="532"/>
    </row>
    <row r="143" spans="2:12" ht="12" hidden="1" customHeight="1">
      <c r="B143" s="533" t="s">
        <v>536</v>
      </c>
      <c r="C143" s="533"/>
      <c r="D143" s="533"/>
      <c r="E143" s="533"/>
      <c r="F143" s="533"/>
      <c r="G143" s="533"/>
      <c r="H143" s="533"/>
      <c r="I143" s="533"/>
      <c r="J143" s="533"/>
      <c r="K143" s="533"/>
      <c r="L143" s="533"/>
    </row>
    <row r="145" spans="2:14" ht="15" customHeight="1">
      <c r="B145" s="499" t="s">
        <v>339</v>
      </c>
      <c r="C145" s="500"/>
      <c r="D145" s="500"/>
      <c r="E145" s="500"/>
      <c r="F145" s="500"/>
      <c r="G145" s="500"/>
      <c r="H145" s="500"/>
      <c r="I145" s="500"/>
      <c r="J145" s="500"/>
      <c r="K145" s="500"/>
      <c r="L145" s="501"/>
    </row>
    <row r="146" spans="2:14" ht="15" customHeight="1">
      <c r="B146" s="494" t="s">
        <v>233</v>
      </c>
      <c r="C146" s="505"/>
      <c r="D146" s="505"/>
      <c r="E146" s="505"/>
      <c r="F146" s="505"/>
      <c r="G146" s="505"/>
      <c r="H146" s="505"/>
      <c r="I146" s="505"/>
      <c r="J146" s="505"/>
      <c r="K146" s="495"/>
      <c r="L146" s="167" t="s">
        <v>234</v>
      </c>
    </row>
    <row r="147" spans="2:14" ht="15" customHeight="1">
      <c r="B147" s="64" t="s">
        <v>78</v>
      </c>
      <c r="C147" s="329" t="s">
        <v>235</v>
      </c>
      <c r="D147" s="492"/>
      <c r="E147" s="492"/>
      <c r="F147" s="492"/>
      <c r="G147" s="492"/>
      <c r="H147" s="492"/>
      <c r="I147" s="492"/>
      <c r="J147" s="492"/>
      <c r="K147" s="330"/>
      <c r="L147" s="137">
        <f>L34</f>
        <v>1429.24</v>
      </c>
    </row>
    <row r="148" spans="2:14" ht="15" customHeight="1">
      <c r="B148" s="64" t="s">
        <v>83</v>
      </c>
      <c r="C148" s="329" t="s">
        <v>340</v>
      </c>
      <c r="D148" s="492"/>
      <c r="E148" s="492"/>
      <c r="F148" s="492"/>
      <c r="G148" s="492"/>
      <c r="H148" s="492"/>
      <c r="I148" s="492"/>
      <c r="J148" s="492"/>
      <c r="K148" s="330"/>
      <c r="L148" s="137">
        <f>L79</f>
        <v>1732.8</v>
      </c>
    </row>
    <row r="149" spans="2:14" ht="15" customHeight="1">
      <c r="B149" s="64" t="s">
        <v>88</v>
      </c>
      <c r="C149" s="329" t="s">
        <v>341</v>
      </c>
      <c r="D149" s="492"/>
      <c r="E149" s="492"/>
      <c r="F149" s="492"/>
      <c r="G149" s="492"/>
      <c r="H149" s="492"/>
      <c r="I149" s="492"/>
      <c r="J149" s="492"/>
      <c r="K149" s="330"/>
      <c r="L149" s="137">
        <f>L90</f>
        <v>92.19</v>
      </c>
      <c r="N149" s="195"/>
    </row>
    <row r="150" spans="2:14" ht="15" customHeight="1">
      <c r="B150" s="64" t="s">
        <v>86</v>
      </c>
      <c r="C150" s="329" t="s">
        <v>328</v>
      </c>
      <c r="D150" s="492"/>
      <c r="E150" s="492"/>
      <c r="F150" s="492"/>
      <c r="G150" s="492"/>
      <c r="H150" s="492"/>
      <c r="I150" s="492"/>
      <c r="J150" s="492"/>
      <c r="K150" s="330"/>
      <c r="L150" s="137">
        <f>L118</f>
        <v>16.149999999999999</v>
      </c>
    </row>
    <row r="151" spans="2:14" ht="15" customHeight="1">
      <c r="B151" s="64" t="s">
        <v>88</v>
      </c>
      <c r="C151" s="329" t="s">
        <v>342</v>
      </c>
      <c r="D151" s="492"/>
      <c r="E151" s="492"/>
      <c r="F151" s="492"/>
      <c r="G151" s="492"/>
      <c r="H151" s="492"/>
      <c r="I151" s="492"/>
      <c r="J151" s="492"/>
      <c r="K151" s="330"/>
      <c r="L151" s="137">
        <f>L127</f>
        <v>1579.61</v>
      </c>
    </row>
    <row r="152" spans="2:14" ht="15" customHeight="1">
      <c r="B152" s="499" t="s">
        <v>343</v>
      </c>
      <c r="C152" s="500"/>
      <c r="D152" s="500"/>
      <c r="E152" s="500"/>
      <c r="F152" s="500"/>
      <c r="G152" s="500"/>
      <c r="H152" s="500"/>
      <c r="I152" s="500"/>
      <c r="J152" s="500"/>
      <c r="K152" s="501"/>
      <c r="L152" s="171">
        <f>SUM(L147:L151)</f>
        <v>4849.99</v>
      </c>
    </row>
    <row r="153" spans="2:14" ht="15" customHeight="1">
      <c r="B153" s="64" t="s">
        <v>113</v>
      </c>
      <c r="C153" s="329" t="s">
        <v>344</v>
      </c>
      <c r="D153" s="492"/>
      <c r="E153" s="492"/>
      <c r="F153" s="492"/>
      <c r="G153" s="492"/>
      <c r="H153" s="492"/>
      <c r="I153" s="492"/>
      <c r="J153" s="492"/>
      <c r="K153" s="330"/>
      <c r="L153" s="137">
        <f>L141</f>
        <v>1003.44</v>
      </c>
    </row>
    <row r="154" spans="2:14" ht="15" customHeight="1">
      <c r="B154" s="499" t="s">
        <v>363</v>
      </c>
      <c r="C154" s="500"/>
      <c r="D154" s="500"/>
      <c r="E154" s="500"/>
      <c r="F154" s="500"/>
      <c r="G154" s="500"/>
      <c r="H154" s="500"/>
      <c r="I154" s="500"/>
      <c r="J154" s="500"/>
      <c r="K154" s="501"/>
      <c r="L154" s="171">
        <f>SUM(L152:L153)-0.05</f>
        <v>5853.38</v>
      </c>
      <c r="M154" s="196"/>
    </row>
    <row r="155" spans="2:14" ht="15" customHeight="1">
      <c r="B155" s="499"/>
      <c r="C155" s="500"/>
      <c r="D155" s="500"/>
      <c r="E155" s="500"/>
      <c r="F155" s="500"/>
      <c r="G155" s="500"/>
      <c r="H155" s="500"/>
      <c r="I155" s="500"/>
      <c r="J155" s="500"/>
      <c r="K155" s="501"/>
      <c r="L155" s="171"/>
    </row>
    <row r="156" spans="2:14" ht="15" customHeight="1">
      <c r="B156" s="499" t="s">
        <v>355</v>
      </c>
      <c r="C156" s="500"/>
      <c r="D156" s="500"/>
      <c r="E156" s="500"/>
      <c r="F156" s="500"/>
      <c r="G156" s="500"/>
      <c r="H156" s="500"/>
      <c r="I156" s="500"/>
      <c r="J156" s="500"/>
      <c r="K156" s="500"/>
      <c r="L156" s="501"/>
    </row>
    <row r="157" spans="2:14" ht="51.75" customHeight="1">
      <c r="B157" s="534" t="s">
        <v>345</v>
      </c>
      <c r="C157" s="535"/>
      <c r="D157" s="535"/>
      <c r="E157" s="535"/>
      <c r="F157" s="536"/>
      <c r="G157" s="534" t="s">
        <v>346</v>
      </c>
      <c r="H157" s="536"/>
      <c r="I157" s="197" t="s">
        <v>379</v>
      </c>
      <c r="J157" s="197" t="s">
        <v>347</v>
      </c>
      <c r="K157" s="198" t="s">
        <v>348</v>
      </c>
      <c r="L157" s="199" t="s">
        <v>349</v>
      </c>
      <c r="M157" s="196"/>
    </row>
    <row r="158" spans="2:14" ht="18.75" customHeight="1">
      <c r="B158" s="499" t="str">
        <f>B17</f>
        <v>SERVENTE</v>
      </c>
      <c r="C158" s="500"/>
      <c r="D158" s="500"/>
      <c r="E158" s="500"/>
      <c r="F158" s="501"/>
      <c r="G158" s="540">
        <f>L154</f>
        <v>5853.38</v>
      </c>
      <c r="H158" s="541"/>
      <c r="I158" s="200">
        <v>1</v>
      </c>
      <c r="J158" s="184">
        <f>I158*G158</f>
        <v>5853.38</v>
      </c>
      <c r="K158" s="200">
        <f>I17</f>
        <v>1</v>
      </c>
      <c r="L158" s="184">
        <f>K158*J158</f>
        <v>5853.38</v>
      </c>
      <c r="M158" s="196"/>
    </row>
    <row r="159" spans="2:14" ht="15" customHeight="1">
      <c r="B159" s="160"/>
      <c r="C159" s="160"/>
      <c r="D159" s="160"/>
      <c r="E159" s="160"/>
      <c r="F159" s="160"/>
      <c r="G159" s="160"/>
      <c r="H159" s="160"/>
      <c r="I159" s="160"/>
      <c r="J159" s="160"/>
      <c r="K159" s="201"/>
      <c r="L159" s="202"/>
    </row>
    <row r="160" spans="2:14" ht="15" customHeight="1">
      <c r="B160" s="499" t="s">
        <v>354</v>
      </c>
      <c r="C160" s="500"/>
      <c r="D160" s="500"/>
      <c r="E160" s="500"/>
      <c r="F160" s="500"/>
      <c r="G160" s="500"/>
      <c r="H160" s="500"/>
      <c r="I160" s="500"/>
      <c r="J160" s="500"/>
      <c r="K160" s="500"/>
      <c r="L160" s="501"/>
    </row>
    <row r="161" spans="2:16">
      <c r="B161" s="197"/>
      <c r="C161" s="534" t="s">
        <v>350</v>
      </c>
      <c r="D161" s="535"/>
      <c r="E161" s="535"/>
      <c r="F161" s="535"/>
      <c r="G161" s="535"/>
      <c r="H161" s="535"/>
      <c r="I161" s="535"/>
      <c r="J161" s="535"/>
      <c r="K161" s="536"/>
      <c r="L161" s="199" t="s">
        <v>251</v>
      </c>
    </row>
    <row r="162" spans="2:16">
      <c r="B162" s="64" t="s">
        <v>78</v>
      </c>
      <c r="C162" s="537" t="s">
        <v>351</v>
      </c>
      <c r="D162" s="538"/>
      <c r="E162" s="538"/>
      <c r="F162" s="538"/>
      <c r="G162" s="538"/>
      <c r="H162" s="538"/>
      <c r="I162" s="538"/>
      <c r="J162" s="538"/>
      <c r="K162" s="539"/>
      <c r="L162" s="203">
        <f>J158</f>
        <v>5853.38</v>
      </c>
    </row>
    <row r="163" spans="2:16" ht="15" customHeight="1">
      <c r="B163" s="64" t="s">
        <v>83</v>
      </c>
      <c r="C163" s="537" t="s">
        <v>352</v>
      </c>
      <c r="D163" s="538"/>
      <c r="E163" s="538"/>
      <c r="F163" s="538"/>
      <c r="G163" s="538"/>
      <c r="H163" s="538"/>
      <c r="I163" s="538"/>
      <c r="J163" s="538"/>
      <c r="K163" s="539"/>
      <c r="L163" s="184">
        <f>L162*K158+0.01</f>
        <v>5853.39</v>
      </c>
      <c r="N163" s="195">
        <f>L163-P173</f>
        <v>0</v>
      </c>
    </row>
    <row r="164" spans="2:16" ht="19.5" customHeight="1">
      <c r="B164" s="197" t="s">
        <v>86</v>
      </c>
      <c r="C164" s="509" t="s">
        <v>353</v>
      </c>
      <c r="D164" s="510"/>
      <c r="E164" s="510"/>
      <c r="F164" s="510"/>
      <c r="G164" s="510"/>
      <c r="H164" s="510"/>
      <c r="I164" s="510"/>
      <c r="J164" s="510"/>
      <c r="K164" s="511"/>
      <c r="L164" s="203">
        <f>L163*K12</f>
        <v>70240.679999999993</v>
      </c>
    </row>
    <row r="165" spans="2:16" ht="15" customHeight="1">
      <c r="B165" s="160"/>
      <c r="C165" s="160"/>
      <c r="D165" s="160"/>
      <c r="E165" s="160"/>
      <c r="F165" s="160"/>
      <c r="G165" s="160"/>
      <c r="H165" s="160"/>
      <c r="I165" s="160"/>
      <c r="J165" s="160"/>
      <c r="K165" s="201"/>
      <c r="L165" s="202"/>
    </row>
    <row r="169" spans="2:16" ht="15" customHeight="1">
      <c r="L169" s="260"/>
      <c r="P169" s="260">
        <v>5803.14</v>
      </c>
    </row>
    <row r="170" spans="2:16" ht="15" customHeight="1">
      <c r="L170" s="262"/>
      <c r="P170" s="261">
        <v>5775.35</v>
      </c>
    </row>
    <row r="171" spans="2:16" ht="15" customHeight="1">
      <c r="L171" s="262"/>
      <c r="P171" s="559">
        <v>5981.68</v>
      </c>
    </row>
    <row r="172" spans="2:16" ht="15" customHeight="1">
      <c r="L172" s="263"/>
    </row>
    <row r="173" spans="2:16" ht="15" customHeight="1">
      <c r="N173" s="195"/>
      <c r="P173" s="196">
        <f>(P169+P170+P171)/3</f>
        <v>5853.39</v>
      </c>
    </row>
  </sheetData>
  <mergeCells count="156">
    <mergeCell ref="C10:J10"/>
    <mergeCell ref="K10:L10"/>
    <mergeCell ref="C11:J11"/>
    <mergeCell ref="K11:L11"/>
    <mergeCell ref="C12:J12"/>
    <mergeCell ref="K12:L12"/>
    <mergeCell ref="A1:L1"/>
    <mergeCell ref="B4:I4"/>
    <mergeCell ref="B6:L6"/>
    <mergeCell ref="B8:L8"/>
    <mergeCell ref="C9:J9"/>
    <mergeCell ref="K9:L9"/>
    <mergeCell ref="B19:L19"/>
    <mergeCell ref="B20:L20"/>
    <mergeCell ref="C21:J21"/>
    <mergeCell ref="K21:L21"/>
    <mergeCell ref="C22:J22"/>
    <mergeCell ref="K22:L22"/>
    <mergeCell ref="B14:L14"/>
    <mergeCell ref="B15:L15"/>
    <mergeCell ref="B16:E16"/>
    <mergeCell ref="F16:H16"/>
    <mergeCell ref="I16:L16"/>
    <mergeCell ref="B17:E17"/>
    <mergeCell ref="F17:H17"/>
    <mergeCell ref="I17:L17"/>
    <mergeCell ref="C28:J28"/>
    <mergeCell ref="C29:J29"/>
    <mergeCell ref="C30:J30"/>
    <mergeCell ref="C31:J31"/>
    <mergeCell ref="C32:J32"/>
    <mergeCell ref="C33:J33"/>
    <mergeCell ref="C23:J23"/>
    <mergeCell ref="K23:L23"/>
    <mergeCell ref="C24:J24"/>
    <mergeCell ref="K24:L24"/>
    <mergeCell ref="B26:L26"/>
    <mergeCell ref="C27:K27"/>
    <mergeCell ref="B41:J41"/>
    <mergeCell ref="B42:L42"/>
    <mergeCell ref="B43:L43"/>
    <mergeCell ref="B44:L44"/>
    <mergeCell ref="B46:L46"/>
    <mergeCell ref="C47:J47"/>
    <mergeCell ref="B34:I34"/>
    <mergeCell ref="B35:L35"/>
    <mergeCell ref="B37:L37"/>
    <mergeCell ref="C38:J38"/>
    <mergeCell ref="C39:J39"/>
    <mergeCell ref="C40:J40"/>
    <mergeCell ref="C54:J54"/>
    <mergeCell ref="C55:J55"/>
    <mergeCell ref="B56:J56"/>
    <mergeCell ref="B57:L57"/>
    <mergeCell ref="B58:L58"/>
    <mergeCell ref="B59:L59"/>
    <mergeCell ref="C48:J48"/>
    <mergeCell ref="C49:J49"/>
    <mergeCell ref="C50:J50"/>
    <mergeCell ref="C51:J51"/>
    <mergeCell ref="C52:J52"/>
    <mergeCell ref="C53:J53"/>
    <mergeCell ref="B69:K69"/>
    <mergeCell ref="B70:L70"/>
    <mergeCell ref="B71:L71"/>
    <mergeCell ref="B73:L73"/>
    <mergeCell ref="B74:L74"/>
    <mergeCell ref="C75:K75"/>
    <mergeCell ref="B61:L61"/>
    <mergeCell ref="C62:K62"/>
    <mergeCell ref="C63:K63"/>
    <mergeCell ref="C64:K64"/>
    <mergeCell ref="C65:K65"/>
    <mergeCell ref="C67:K67"/>
    <mergeCell ref="C83:J83"/>
    <mergeCell ref="C84:J84"/>
    <mergeCell ref="C85:J85"/>
    <mergeCell ref="C86:J86"/>
    <mergeCell ref="C87:J87"/>
    <mergeCell ref="C88:J88"/>
    <mergeCell ref="C76:K76"/>
    <mergeCell ref="C77:K77"/>
    <mergeCell ref="C78:K78"/>
    <mergeCell ref="B79:K79"/>
    <mergeCell ref="B81:L81"/>
    <mergeCell ref="B82:L82"/>
    <mergeCell ref="C96:J96"/>
    <mergeCell ref="C97:J97"/>
    <mergeCell ref="C98:J98"/>
    <mergeCell ref="C99:J99"/>
    <mergeCell ref="C100:J100"/>
    <mergeCell ref="C101:J101"/>
    <mergeCell ref="C89:J89"/>
    <mergeCell ref="B90:J90"/>
    <mergeCell ref="B91:L91"/>
    <mergeCell ref="B93:L93"/>
    <mergeCell ref="B94:L94"/>
    <mergeCell ref="C95:J95"/>
    <mergeCell ref="G110:L110"/>
    <mergeCell ref="G111:L111"/>
    <mergeCell ref="B113:L113"/>
    <mergeCell ref="B114:L114"/>
    <mergeCell ref="C115:K115"/>
    <mergeCell ref="C116:K116"/>
    <mergeCell ref="B102:J102"/>
    <mergeCell ref="B103:L103"/>
    <mergeCell ref="B105:L105"/>
    <mergeCell ref="C106:K106"/>
    <mergeCell ref="C107:K107"/>
    <mergeCell ref="B108:K108"/>
    <mergeCell ref="C124:K124"/>
    <mergeCell ref="C125:K125"/>
    <mergeCell ref="C126:K126"/>
    <mergeCell ref="B127:K127"/>
    <mergeCell ref="B128:L128"/>
    <mergeCell ref="B130:L130"/>
    <mergeCell ref="C117:K117"/>
    <mergeCell ref="B118:K118"/>
    <mergeCell ref="B119:L119"/>
    <mergeCell ref="B121:L121"/>
    <mergeCell ref="C122:K122"/>
    <mergeCell ref="C123:K123"/>
    <mergeCell ref="C131:J131"/>
    <mergeCell ref="C132:J132"/>
    <mergeCell ref="C133:J133"/>
    <mergeCell ref="B134:J134"/>
    <mergeCell ref="B135:B139"/>
    <mergeCell ref="C135:L135"/>
    <mergeCell ref="C136:I137"/>
    <mergeCell ref="C138:I138"/>
    <mergeCell ref="C139:I139"/>
    <mergeCell ref="C147:K147"/>
    <mergeCell ref="C148:K148"/>
    <mergeCell ref="C149:K149"/>
    <mergeCell ref="C150:K150"/>
    <mergeCell ref="C151:K151"/>
    <mergeCell ref="B152:K152"/>
    <mergeCell ref="B140:I140"/>
    <mergeCell ref="B141:I141"/>
    <mergeCell ref="B142:L142"/>
    <mergeCell ref="B143:L143"/>
    <mergeCell ref="B145:L145"/>
    <mergeCell ref="B146:K146"/>
    <mergeCell ref="C164:K164"/>
    <mergeCell ref="B158:F158"/>
    <mergeCell ref="G158:H158"/>
    <mergeCell ref="B160:L160"/>
    <mergeCell ref="C161:K161"/>
    <mergeCell ref="C162:K162"/>
    <mergeCell ref="C163:K163"/>
    <mergeCell ref="C153:K153"/>
    <mergeCell ref="B154:K154"/>
    <mergeCell ref="B155:K155"/>
    <mergeCell ref="B156:L156"/>
    <mergeCell ref="B157:F157"/>
    <mergeCell ref="G157:H157"/>
  </mergeCells>
  <pageMargins left="0.15748031496062992" right="0.19685039370078741" top="0.94488188976377963" bottom="0.31496062992125984" header="0.19685039370078741" footer="0.15748031496062992"/>
  <pageSetup paperSize="9" scale="65" fitToHeight="0" orientation="portrait" r:id="rId1"/>
  <headerFooter>
    <oddHeader>&amp;L&amp;G</oddHeader>
  </headerFooter>
  <rowBreaks count="2" manualBreakCount="2">
    <brk id="79" max="16383" man="1"/>
    <brk id="164" max="11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4" tint="-0.499984740745262"/>
  </sheetPr>
  <dimension ref="A1:Q173"/>
  <sheetViews>
    <sheetView showGridLines="0" topLeftCell="A147" zoomScale="120" zoomScaleNormal="120" zoomScaleSheetLayoutView="90" workbookViewId="0">
      <selection activeCell="M163" sqref="M163"/>
    </sheetView>
  </sheetViews>
  <sheetFormatPr defaultColWidth="9.140625" defaultRowHeight="15" customHeight="1"/>
  <cols>
    <col min="1" max="1" width="3.140625" style="63" customWidth="1"/>
    <col min="2" max="2" width="19.28515625" style="23" customWidth="1"/>
    <col min="3" max="3" width="20.85546875" style="23" customWidth="1"/>
    <col min="4" max="4" width="13.140625" style="23" customWidth="1"/>
    <col min="5" max="5" width="5.42578125" style="23" customWidth="1"/>
    <col min="6" max="6" width="12.7109375" style="23" customWidth="1"/>
    <col min="7" max="7" width="11.85546875" style="187" customWidth="1"/>
    <col min="8" max="8" width="7.140625" style="23" customWidth="1"/>
    <col min="9" max="9" width="9.42578125" style="187" customWidth="1"/>
    <col min="10" max="10" width="12.85546875" style="187" bestFit="1" customWidth="1"/>
    <col min="11" max="11" width="11.42578125" style="188" customWidth="1"/>
    <col min="12" max="12" width="18.42578125" style="189" customWidth="1"/>
    <col min="13" max="13" width="10.42578125" style="63" customWidth="1"/>
    <col min="14" max="14" width="13.85546875" style="63" bestFit="1" customWidth="1"/>
    <col min="15" max="15" width="9.140625" style="63"/>
    <col min="16" max="16" width="13.42578125" style="63" customWidth="1"/>
    <col min="17" max="17" width="14.42578125" style="63" customWidth="1"/>
    <col min="18" max="16384" width="9.140625" style="63"/>
  </cols>
  <sheetData>
    <row r="1" spans="1:12" ht="18" customHeight="1">
      <c r="A1" s="496" t="s">
        <v>357</v>
      </c>
      <c r="B1" s="496"/>
      <c r="C1" s="496"/>
      <c r="D1" s="496"/>
      <c r="E1" s="496"/>
      <c r="F1" s="496"/>
      <c r="G1" s="496"/>
      <c r="H1" s="496"/>
      <c r="I1" s="496"/>
      <c r="J1" s="496"/>
      <c r="K1" s="496"/>
      <c r="L1" s="496"/>
    </row>
    <row r="2" spans="1:12" s="158" customFormat="1" ht="15.75" customHeight="1">
      <c r="B2" s="142"/>
      <c r="C2" s="142"/>
      <c r="D2" s="142"/>
      <c r="E2" s="142"/>
      <c r="F2" s="142"/>
      <c r="G2" s="142"/>
      <c r="H2" s="142"/>
      <c r="I2" s="142"/>
      <c r="K2" s="159"/>
    </row>
    <row r="3" spans="1:12" s="158" customFormat="1" ht="15.75" customHeight="1"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</row>
    <row r="4" spans="1:12" s="158" customFormat="1" ht="15.75" customHeight="1">
      <c r="B4" s="497"/>
      <c r="C4" s="497"/>
      <c r="D4" s="497"/>
      <c r="E4" s="497"/>
      <c r="F4" s="497"/>
      <c r="G4" s="497"/>
      <c r="H4" s="497"/>
      <c r="I4" s="497"/>
      <c r="K4" s="159"/>
    </row>
    <row r="5" spans="1:12" s="158" customFormat="1" ht="15.75" customHeight="1">
      <c r="B5" s="142"/>
      <c r="C5" s="142"/>
      <c r="D5" s="142"/>
      <c r="E5" s="142"/>
      <c r="F5" s="142"/>
      <c r="G5" s="142"/>
      <c r="H5" s="142"/>
      <c r="I5" s="142"/>
      <c r="K5" s="159"/>
    </row>
    <row r="6" spans="1:12" ht="13.5" customHeight="1">
      <c r="B6" s="498"/>
      <c r="C6" s="498"/>
      <c r="D6" s="498"/>
      <c r="E6" s="498"/>
      <c r="F6" s="498"/>
      <c r="G6" s="498"/>
      <c r="H6" s="498"/>
      <c r="I6" s="498"/>
      <c r="J6" s="498"/>
      <c r="K6" s="498"/>
      <c r="L6" s="498"/>
    </row>
    <row r="7" spans="1:12" ht="12" customHeight="1">
      <c r="B7" s="160"/>
      <c r="C7" s="160"/>
      <c r="D7" s="160"/>
      <c r="E7" s="160"/>
      <c r="F7" s="160"/>
      <c r="G7" s="161"/>
      <c r="H7" s="161"/>
      <c r="I7" s="161"/>
      <c r="J7" s="161"/>
      <c r="K7" s="162"/>
      <c r="L7" s="161"/>
    </row>
    <row r="8" spans="1:12" ht="15" customHeight="1">
      <c r="B8" s="499" t="s">
        <v>299</v>
      </c>
      <c r="C8" s="500"/>
      <c r="D8" s="500"/>
      <c r="E8" s="500"/>
      <c r="F8" s="500"/>
      <c r="G8" s="500"/>
      <c r="H8" s="500"/>
      <c r="I8" s="500"/>
      <c r="J8" s="500"/>
      <c r="K8" s="500"/>
      <c r="L8" s="501"/>
    </row>
    <row r="9" spans="1:12" ht="15" customHeight="1">
      <c r="B9" s="64" t="s">
        <v>78</v>
      </c>
      <c r="C9" s="329" t="s">
        <v>300</v>
      </c>
      <c r="D9" s="492"/>
      <c r="E9" s="492"/>
      <c r="F9" s="492"/>
      <c r="G9" s="492"/>
      <c r="H9" s="492"/>
      <c r="I9" s="492"/>
      <c r="J9" s="330"/>
      <c r="K9" s="493" t="s">
        <v>538</v>
      </c>
      <c r="L9" s="493"/>
    </row>
    <row r="10" spans="1:12" ht="15" customHeight="1">
      <c r="B10" s="64" t="s">
        <v>83</v>
      </c>
      <c r="C10" s="329" t="s">
        <v>301</v>
      </c>
      <c r="D10" s="492"/>
      <c r="E10" s="492"/>
      <c r="F10" s="492"/>
      <c r="G10" s="492"/>
      <c r="H10" s="492"/>
      <c r="I10" s="492"/>
      <c r="J10" s="330"/>
      <c r="K10" s="494" t="s">
        <v>374</v>
      </c>
      <c r="L10" s="495"/>
    </row>
    <row r="11" spans="1:12" ht="15" customHeight="1">
      <c r="B11" s="64" t="s">
        <v>86</v>
      </c>
      <c r="C11" s="329" t="s">
        <v>302</v>
      </c>
      <c r="D11" s="492"/>
      <c r="E11" s="492"/>
      <c r="F11" s="492"/>
      <c r="G11" s="492"/>
      <c r="H11" s="492"/>
      <c r="I11" s="492"/>
      <c r="J11" s="330"/>
      <c r="K11" s="494" t="s">
        <v>539</v>
      </c>
      <c r="L11" s="495"/>
    </row>
    <row r="12" spans="1:12" ht="15" customHeight="1">
      <c r="B12" s="64" t="s">
        <v>88</v>
      </c>
      <c r="C12" s="509" t="s">
        <v>303</v>
      </c>
      <c r="D12" s="510"/>
      <c r="E12" s="510"/>
      <c r="F12" s="510"/>
      <c r="G12" s="510"/>
      <c r="H12" s="510"/>
      <c r="I12" s="510"/>
      <c r="J12" s="511"/>
      <c r="K12" s="494">
        <v>12</v>
      </c>
      <c r="L12" s="495"/>
    </row>
    <row r="13" spans="1:12" ht="7.5" customHeight="1">
      <c r="B13" s="163"/>
      <c r="C13" s="163"/>
      <c r="D13" s="163"/>
      <c r="E13" s="163"/>
      <c r="F13" s="163"/>
      <c r="G13" s="164"/>
      <c r="H13" s="163"/>
      <c r="I13" s="164"/>
      <c r="J13" s="164"/>
      <c r="K13" s="165"/>
      <c r="L13" s="164"/>
    </row>
    <row r="14" spans="1:12" ht="15" customHeight="1">
      <c r="B14" s="506" t="s">
        <v>90</v>
      </c>
      <c r="C14" s="507"/>
      <c r="D14" s="507"/>
      <c r="E14" s="507"/>
      <c r="F14" s="507"/>
      <c r="G14" s="507"/>
      <c r="H14" s="507"/>
      <c r="I14" s="507"/>
      <c r="J14" s="507"/>
      <c r="K14" s="507"/>
      <c r="L14" s="508"/>
    </row>
    <row r="15" spans="1:12" ht="15" customHeight="1">
      <c r="B15" s="512" t="s">
        <v>304</v>
      </c>
      <c r="C15" s="512"/>
      <c r="D15" s="512"/>
      <c r="E15" s="512"/>
      <c r="F15" s="512"/>
      <c r="G15" s="512"/>
      <c r="H15" s="512"/>
      <c r="I15" s="512"/>
      <c r="J15" s="512"/>
      <c r="K15" s="512"/>
      <c r="L15" s="512"/>
    </row>
    <row r="16" spans="1:12" ht="15" customHeight="1">
      <c r="B16" s="499" t="s">
        <v>305</v>
      </c>
      <c r="C16" s="500"/>
      <c r="D16" s="500"/>
      <c r="E16" s="501"/>
      <c r="F16" s="499" t="s">
        <v>92</v>
      </c>
      <c r="G16" s="500"/>
      <c r="H16" s="501"/>
      <c r="I16" s="512" t="s">
        <v>306</v>
      </c>
      <c r="J16" s="512"/>
      <c r="K16" s="512"/>
      <c r="L16" s="512"/>
    </row>
    <row r="17" spans="1:12" ht="23.25" customHeight="1">
      <c r="B17" s="502" t="s">
        <v>469</v>
      </c>
      <c r="C17" s="503"/>
      <c r="D17" s="503"/>
      <c r="E17" s="504"/>
      <c r="F17" s="494" t="s">
        <v>377</v>
      </c>
      <c r="G17" s="505"/>
      <c r="H17" s="495"/>
      <c r="I17" s="494">
        <v>1</v>
      </c>
      <c r="J17" s="505"/>
      <c r="K17" s="505"/>
      <c r="L17" s="495"/>
    </row>
    <row r="18" spans="1:12" ht="7.5" customHeight="1">
      <c r="B18" s="163"/>
      <c r="C18" s="163"/>
      <c r="D18" s="163"/>
      <c r="E18" s="163"/>
      <c r="F18" s="163"/>
      <c r="G18" s="164"/>
      <c r="H18" s="163"/>
      <c r="I18" s="164"/>
      <c r="J18" s="164"/>
      <c r="K18" s="165"/>
      <c r="L18" s="164"/>
    </row>
    <row r="19" spans="1:12" s="140" customFormat="1" ht="22.5" customHeight="1">
      <c r="A19" s="166"/>
      <c r="B19" s="506" t="s">
        <v>307</v>
      </c>
      <c r="C19" s="507"/>
      <c r="D19" s="507"/>
      <c r="E19" s="507"/>
      <c r="F19" s="507"/>
      <c r="G19" s="507"/>
      <c r="H19" s="507"/>
      <c r="I19" s="507"/>
      <c r="J19" s="507"/>
      <c r="K19" s="507"/>
      <c r="L19" s="508"/>
    </row>
    <row r="20" spans="1:12" s="140" customFormat="1" ht="15" customHeight="1">
      <c r="A20" s="166"/>
      <c r="B20" s="499" t="s">
        <v>308</v>
      </c>
      <c r="C20" s="500"/>
      <c r="D20" s="500"/>
      <c r="E20" s="500"/>
      <c r="F20" s="500"/>
      <c r="G20" s="500"/>
      <c r="H20" s="500"/>
      <c r="I20" s="500"/>
      <c r="J20" s="500"/>
      <c r="K20" s="500"/>
      <c r="L20" s="501"/>
    </row>
    <row r="21" spans="1:12" s="149" customFormat="1" ht="15" customHeight="1">
      <c r="A21" s="166"/>
      <c r="B21" s="64">
        <v>1</v>
      </c>
      <c r="C21" s="329" t="s">
        <v>313</v>
      </c>
      <c r="D21" s="492"/>
      <c r="E21" s="492"/>
      <c r="F21" s="492"/>
      <c r="G21" s="492"/>
      <c r="H21" s="492"/>
      <c r="I21" s="492"/>
      <c r="J21" s="330"/>
      <c r="K21" s="493" t="str">
        <f>B17</f>
        <v>CONTÍNUO</v>
      </c>
      <c r="L21" s="493"/>
    </row>
    <row r="22" spans="1:12" s="140" customFormat="1" ht="15" customHeight="1">
      <c r="A22" s="166"/>
      <c r="B22" s="64">
        <v>2</v>
      </c>
      <c r="C22" s="329" t="s">
        <v>297</v>
      </c>
      <c r="D22" s="492"/>
      <c r="E22" s="492"/>
      <c r="F22" s="492"/>
      <c r="G22" s="492"/>
      <c r="H22" s="492"/>
      <c r="I22" s="492"/>
      <c r="J22" s="330"/>
      <c r="K22" s="494" t="s">
        <v>380</v>
      </c>
      <c r="L22" s="495"/>
    </row>
    <row r="23" spans="1:12" s="140" customFormat="1" ht="15" customHeight="1">
      <c r="A23" s="166"/>
      <c r="B23" s="64">
        <v>3</v>
      </c>
      <c r="C23" s="329" t="s">
        <v>314</v>
      </c>
      <c r="D23" s="492"/>
      <c r="E23" s="492"/>
      <c r="F23" s="492"/>
      <c r="G23" s="492"/>
      <c r="H23" s="492"/>
      <c r="I23" s="492"/>
      <c r="J23" s="330"/>
      <c r="K23" s="513">
        <v>1459.55</v>
      </c>
      <c r="L23" s="514"/>
    </row>
    <row r="24" spans="1:12" ht="15" customHeight="1">
      <c r="A24" s="166"/>
      <c r="B24" s="64">
        <v>4</v>
      </c>
      <c r="C24" s="509" t="s">
        <v>309</v>
      </c>
      <c r="D24" s="510"/>
      <c r="E24" s="510"/>
      <c r="F24" s="510"/>
      <c r="G24" s="510"/>
      <c r="H24" s="510"/>
      <c r="I24" s="510"/>
      <c r="J24" s="511"/>
      <c r="K24" s="515">
        <v>44927</v>
      </c>
      <c r="L24" s="516"/>
    </row>
    <row r="25" spans="1:12" ht="7.5" customHeight="1">
      <c r="B25" s="163"/>
      <c r="C25" s="163"/>
      <c r="D25" s="163"/>
      <c r="E25" s="163"/>
      <c r="F25" s="163"/>
      <c r="G25" s="164"/>
      <c r="H25" s="163"/>
      <c r="I25" s="164"/>
      <c r="J25" s="164"/>
      <c r="K25" s="165"/>
      <c r="L25" s="164"/>
    </row>
    <row r="26" spans="1:12" ht="15" customHeight="1">
      <c r="B26" s="499" t="s">
        <v>310</v>
      </c>
      <c r="C26" s="500"/>
      <c r="D26" s="500"/>
      <c r="E26" s="500"/>
      <c r="F26" s="500"/>
      <c r="G26" s="500"/>
      <c r="H26" s="500"/>
      <c r="I26" s="500"/>
      <c r="J26" s="500"/>
      <c r="K26" s="500"/>
      <c r="L26" s="501"/>
    </row>
    <row r="27" spans="1:12" ht="15" customHeight="1">
      <c r="B27" s="64">
        <v>1</v>
      </c>
      <c r="C27" s="499" t="s">
        <v>107</v>
      </c>
      <c r="D27" s="500"/>
      <c r="E27" s="500"/>
      <c r="F27" s="500"/>
      <c r="G27" s="500"/>
      <c r="H27" s="500"/>
      <c r="I27" s="500"/>
      <c r="J27" s="500"/>
      <c r="K27" s="501"/>
      <c r="L27" s="167" t="s">
        <v>108</v>
      </c>
    </row>
    <row r="28" spans="1:12" ht="15" customHeight="1">
      <c r="B28" s="64" t="s">
        <v>78</v>
      </c>
      <c r="C28" s="329" t="s">
        <v>109</v>
      </c>
      <c r="D28" s="492"/>
      <c r="E28" s="492"/>
      <c r="F28" s="492"/>
      <c r="G28" s="492"/>
      <c r="H28" s="492"/>
      <c r="I28" s="492"/>
      <c r="J28" s="330"/>
      <c r="K28" s="136"/>
      <c r="L28" s="137">
        <f>K23</f>
        <v>1459.55</v>
      </c>
    </row>
    <row r="29" spans="1:12" ht="15" customHeight="1">
      <c r="B29" s="64" t="s">
        <v>83</v>
      </c>
      <c r="C29" s="329" t="s">
        <v>110</v>
      </c>
      <c r="D29" s="492"/>
      <c r="E29" s="492"/>
      <c r="F29" s="492"/>
      <c r="G29" s="492"/>
      <c r="H29" s="492"/>
      <c r="I29" s="492"/>
      <c r="J29" s="330"/>
      <c r="K29" s="136"/>
      <c r="L29" s="137">
        <f>$L$28*K29</f>
        <v>0</v>
      </c>
    </row>
    <row r="30" spans="1:12" ht="15" customHeight="1">
      <c r="B30" s="64" t="s">
        <v>86</v>
      </c>
      <c r="C30" s="329" t="s">
        <v>111</v>
      </c>
      <c r="D30" s="492"/>
      <c r="E30" s="492"/>
      <c r="F30" s="492"/>
      <c r="G30" s="492"/>
      <c r="H30" s="492"/>
      <c r="I30" s="492"/>
      <c r="J30" s="330"/>
      <c r="K30" s="168"/>
      <c r="L30" s="137">
        <f t="shared" ref="L30:L33" si="0">$L$28*K30</f>
        <v>0</v>
      </c>
    </row>
    <row r="31" spans="1:12" ht="15" customHeight="1">
      <c r="B31" s="64" t="s">
        <v>88</v>
      </c>
      <c r="C31" s="329" t="s">
        <v>112</v>
      </c>
      <c r="D31" s="492"/>
      <c r="E31" s="492"/>
      <c r="F31" s="492"/>
      <c r="G31" s="492"/>
      <c r="H31" s="492"/>
      <c r="I31" s="492"/>
      <c r="J31" s="330"/>
      <c r="K31" s="136"/>
      <c r="L31" s="137">
        <f t="shared" si="0"/>
        <v>0</v>
      </c>
    </row>
    <row r="32" spans="1:12" ht="15" customHeight="1">
      <c r="B32" s="64" t="s">
        <v>113</v>
      </c>
      <c r="C32" s="329" t="s">
        <v>311</v>
      </c>
      <c r="D32" s="492"/>
      <c r="E32" s="492"/>
      <c r="F32" s="492"/>
      <c r="G32" s="492"/>
      <c r="H32" s="492"/>
      <c r="I32" s="492"/>
      <c r="J32" s="330"/>
      <c r="K32" s="136"/>
      <c r="L32" s="137">
        <f t="shared" si="0"/>
        <v>0</v>
      </c>
    </row>
    <row r="33" spans="2:12" ht="15" customHeight="1">
      <c r="B33" s="64" t="s">
        <v>116</v>
      </c>
      <c r="C33" s="329" t="s">
        <v>126</v>
      </c>
      <c r="D33" s="492"/>
      <c r="E33" s="492"/>
      <c r="F33" s="492"/>
      <c r="G33" s="492"/>
      <c r="H33" s="492"/>
      <c r="I33" s="492"/>
      <c r="J33" s="330"/>
      <c r="K33" s="136"/>
      <c r="L33" s="137">
        <f t="shared" si="0"/>
        <v>0</v>
      </c>
    </row>
    <row r="34" spans="2:12" ht="15" customHeight="1">
      <c r="B34" s="499" t="s">
        <v>128</v>
      </c>
      <c r="C34" s="500"/>
      <c r="D34" s="500"/>
      <c r="E34" s="500"/>
      <c r="F34" s="500"/>
      <c r="G34" s="500"/>
      <c r="H34" s="500"/>
      <c r="I34" s="501"/>
      <c r="J34" s="169"/>
      <c r="K34" s="170"/>
      <c r="L34" s="171">
        <f>SUM(L28:L33)</f>
        <v>1459.55</v>
      </c>
    </row>
    <row r="35" spans="2:12" ht="15" hidden="1" customHeight="1">
      <c r="B35" s="519" t="s">
        <v>312</v>
      </c>
      <c r="C35" s="519"/>
      <c r="D35" s="519"/>
      <c r="E35" s="519"/>
      <c r="F35" s="519"/>
      <c r="G35" s="519"/>
      <c r="H35" s="519"/>
      <c r="I35" s="519"/>
      <c r="J35" s="519"/>
      <c r="K35" s="519"/>
      <c r="L35" s="519"/>
    </row>
    <row r="36" spans="2:12" ht="7.5" customHeight="1">
      <c r="B36" s="163"/>
      <c r="C36" s="163"/>
      <c r="D36" s="163"/>
      <c r="E36" s="163"/>
      <c r="F36" s="163"/>
      <c r="G36" s="164"/>
      <c r="H36" s="163"/>
      <c r="I36" s="164"/>
      <c r="J36" s="164"/>
      <c r="K36" s="165"/>
      <c r="L36" s="164"/>
    </row>
    <row r="37" spans="2:12" ht="15" customHeight="1">
      <c r="B37" s="499" t="s">
        <v>315</v>
      </c>
      <c r="C37" s="500"/>
      <c r="D37" s="500"/>
      <c r="E37" s="500"/>
      <c r="F37" s="500"/>
      <c r="G37" s="500"/>
      <c r="H37" s="500"/>
      <c r="I37" s="500"/>
      <c r="J37" s="500"/>
      <c r="K37" s="500"/>
      <c r="L37" s="501"/>
    </row>
    <row r="38" spans="2:12" ht="15" customHeight="1">
      <c r="B38" s="64" t="s">
        <v>316</v>
      </c>
      <c r="C38" s="499" t="s">
        <v>317</v>
      </c>
      <c r="D38" s="500"/>
      <c r="E38" s="500"/>
      <c r="F38" s="500"/>
      <c r="G38" s="500"/>
      <c r="H38" s="500"/>
      <c r="I38" s="500"/>
      <c r="J38" s="501"/>
      <c r="K38" s="172" t="s">
        <v>166</v>
      </c>
      <c r="L38" s="167" t="s">
        <v>108</v>
      </c>
    </row>
    <row r="39" spans="2:12" ht="15" customHeight="1">
      <c r="B39" s="64" t="s">
        <v>78</v>
      </c>
      <c r="C39" s="329" t="s">
        <v>181</v>
      </c>
      <c r="D39" s="492"/>
      <c r="E39" s="492"/>
      <c r="F39" s="492"/>
      <c r="G39" s="492"/>
      <c r="H39" s="492"/>
      <c r="I39" s="492"/>
      <c r="J39" s="330"/>
      <c r="K39" s="136">
        <f>(1/12)</f>
        <v>8.3299999999999999E-2</v>
      </c>
      <c r="L39" s="137">
        <f>ROUND($L$34*K39,2)</f>
        <v>121.58</v>
      </c>
    </row>
    <row r="40" spans="2:12" ht="15" customHeight="1">
      <c r="B40" s="64" t="s">
        <v>83</v>
      </c>
      <c r="C40" s="329" t="s">
        <v>358</v>
      </c>
      <c r="D40" s="492"/>
      <c r="E40" s="492"/>
      <c r="F40" s="492"/>
      <c r="G40" s="492"/>
      <c r="H40" s="492"/>
      <c r="I40" s="492"/>
      <c r="J40" s="330"/>
      <c r="K40" s="136">
        <v>0.121</v>
      </c>
      <c r="L40" s="137">
        <f>K40*$L$34</f>
        <v>176.61</v>
      </c>
    </row>
    <row r="41" spans="2:12" ht="15" customHeight="1">
      <c r="B41" s="499" t="s">
        <v>57</v>
      </c>
      <c r="C41" s="500"/>
      <c r="D41" s="500"/>
      <c r="E41" s="500"/>
      <c r="F41" s="500"/>
      <c r="G41" s="500"/>
      <c r="H41" s="500"/>
      <c r="I41" s="500"/>
      <c r="J41" s="501"/>
      <c r="K41" s="173">
        <f>SUM(K39:K40)</f>
        <v>0.20430000000000001</v>
      </c>
      <c r="L41" s="174">
        <f>SUM(L39:L40)</f>
        <v>298.19</v>
      </c>
    </row>
    <row r="42" spans="2:12" ht="24" hidden="1" customHeight="1">
      <c r="B42" s="517" t="s">
        <v>524</v>
      </c>
      <c r="C42" s="517"/>
      <c r="D42" s="517"/>
      <c r="E42" s="517"/>
      <c r="F42" s="517"/>
      <c r="G42" s="517"/>
      <c r="H42" s="517"/>
      <c r="I42" s="517"/>
      <c r="J42" s="517"/>
      <c r="K42" s="517"/>
      <c r="L42" s="517"/>
    </row>
    <row r="43" spans="2:12" ht="15.75" hidden="1" customHeight="1">
      <c r="B43" s="518" t="s">
        <v>525</v>
      </c>
      <c r="C43" s="518"/>
      <c r="D43" s="518"/>
      <c r="E43" s="518"/>
      <c r="F43" s="518"/>
      <c r="G43" s="518"/>
      <c r="H43" s="518"/>
      <c r="I43" s="518"/>
      <c r="J43" s="518"/>
      <c r="K43" s="518"/>
      <c r="L43" s="518"/>
    </row>
    <row r="44" spans="2:12" ht="26.25" hidden="1" customHeight="1">
      <c r="B44" s="518" t="s">
        <v>526</v>
      </c>
      <c r="C44" s="518"/>
      <c r="D44" s="518"/>
      <c r="E44" s="518"/>
      <c r="F44" s="518"/>
      <c r="G44" s="518"/>
      <c r="H44" s="518"/>
      <c r="I44" s="518"/>
      <c r="J44" s="518"/>
      <c r="K44" s="518"/>
      <c r="L44" s="518"/>
    </row>
    <row r="45" spans="2:12" ht="7.5" customHeight="1">
      <c r="B45" s="163"/>
      <c r="C45" s="163"/>
      <c r="D45" s="163"/>
      <c r="E45" s="163"/>
      <c r="F45" s="163"/>
      <c r="G45" s="164"/>
      <c r="H45" s="163"/>
      <c r="I45" s="164"/>
      <c r="J45" s="164"/>
      <c r="K45" s="165"/>
      <c r="L45" s="164"/>
    </row>
    <row r="46" spans="2:12" ht="16.5" customHeight="1">
      <c r="B46" s="502" t="s">
        <v>366</v>
      </c>
      <c r="C46" s="503"/>
      <c r="D46" s="503"/>
      <c r="E46" s="503"/>
      <c r="F46" s="503"/>
      <c r="G46" s="503"/>
      <c r="H46" s="503"/>
      <c r="I46" s="503"/>
      <c r="J46" s="503"/>
      <c r="K46" s="503"/>
      <c r="L46" s="504"/>
    </row>
    <row r="47" spans="2:12" ht="14.25" customHeight="1">
      <c r="B47" s="64" t="s">
        <v>318</v>
      </c>
      <c r="C47" s="499" t="s">
        <v>319</v>
      </c>
      <c r="D47" s="500"/>
      <c r="E47" s="500"/>
      <c r="F47" s="500"/>
      <c r="G47" s="500"/>
      <c r="H47" s="500"/>
      <c r="I47" s="500"/>
      <c r="J47" s="501"/>
      <c r="K47" s="172" t="s">
        <v>166</v>
      </c>
      <c r="L47" s="167" t="s">
        <v>108</v>
      </c>
    </row>
    <row r="48" spans="2:12" ht="15" customHeight="1">
      <c r="B48" s="64" t="s">
        <v>78</v>
      </c>
      <c r="C48" s="329" t="s">
        <v>167</v>
      </c>
      <c r="D48" s="492"/>
      <c r="E48" s="492"/>
      <c r="F48" s="492"/>
      <c r="G48" s="492"/>
      <c r="H48" s="492"/>
      <c r="I48" s="492"/>
      <c r="J48" s="330"/>
      <c r="K48" s="136">
        <v>0.2</v>
      </c>
      <c r="L48" s="137">
        <f>ROUND(($L$34+$L$41)*K48,2)</f>
        <v>351.55</v>
      </c>
    </row>
    <row r="49" spans="2:17" ht="15" customHeight="1">
      <c r="B49" s="64" t="s">
        <v>83</v>
      </c>
      <c r="C49" s="329" t="s">
        <v>171</v>
      </c>
      <c r="D49" s="492"/>
      <c r="E49" s="492"/>
      <c r="F49" s="492"/>
      <c r="G49" s="492"/>
      <c r="H49" s="492"/>
      <c r="I49" s="492"/>
      <c r="J49" s="330"/>
      <c r="K49" s="136">
        <v>2.5000000000000001E-2</v>
      </c>
      <c r="L49" s="137">
        <f t="shared" ref="L49:L55" si="1">ROUND(($L$34+$L$41)*K49,2)</f>
        <v>43.94</v>
      </c>
    </row>
    <row r="50" spans="2:17" ht="15" customHeight="1">
      <c r="B50" s="64" t="s">
        <v>86</v>
      </c>
      <c r="C50" s="329" t="s">
        <v>261</v>
      </c>
      <c r="D50" s="492"/>
      <c r="E50" s="492"/>
      <c r="F50" s="492"/>
      <c r="G50" s="492"/>
      <c r="H50" s="492"/>
      <c r="I50" s="492"/>
      <c r="J50" s="330"/>
      <c r="K50" s="136">
        <v>1.9400000000000001E-2</v>
      </c>
      <c r="L50" s="137">
        <f t="shared" si="1"/>
        <v>34.1</v>
      </c>
      <c r="P50" s="195"/>
    </row>
    <row r="51" spans="2:17" ht="15" customHeight="1">
      <c r="B51" s="64" t="s">
        <v>88</v>
      </c>
      <c r="C51" s="329" t="s">
        <v>168</v>
      </c>
      <c r="D51" s="492"/>
      <c r="E51" s="492"/>
      <c r="F51" s="492"/>
      <c r="G51" s="492"/>
      <c r="H51" s="492"/>
      <c r="I51" s="492"/>
      <c r="J51" s="330"/>
      <c r="K51" s="136">
        <v>1.4999999999999999E-2</v>
      </c>
      <c r="L51" s="137">
        <f t="shared" si="1"/>
        <v>26.37</v>
      </c>
    </row>
    <row r="52" spans="2:17" ht="15" customHeight="1">
      <c r="B52" s="64" t="s">
        <v>113</v>
      </c>
      <c r="C52" s="329" t="s">
        <v>169</v>
      </c>
      <c r="D52" s="492"/>
      <c r="E52" s="492"/>
      <c r="F52" s="492"/>
      <c r="G52" s="492"/>
      <c r="H52" s="492"/>
      <c r="I52" s="492"/>
      <c r="J52" s="330"/>
      <c r="K52" s="136">
        <v>0.01</v>
      </c>
      <c r="L52" s="137">
        <f t="shared" si="1"/>
        <v>17.579999999999998</v>
      </c>
    </row>
    <row r="53" spans="2:17" ht="15" customHeight="1">
      <c r="B53" s="64" t="s">
        <v>116</v>
      </c>
      <c r="C53" s="329" t="s">
        <v>174</v>
      </c>
      <c r="D53" s="492"/>
      <c r="E53" s="492"/>
      <c r="F53" s="492"/>
      <c r="G53" s="492"/>
      <c r="H53" s="492"/>
      <c r="I53" s="492"/>
      <c r="J53" s="330"/>
      <c r="K53" s="136">
        <v>6.0000000000000001E-3</v>
      </c>
      <c r="L53" s="137">
        <f t="shared" si="1"/>
        <v>10.55</v>
      </c>
    </row>
    <row r="54" spans="2:17" ht="15" customHeight="1">
      <c r="B54" s="64" t="s">
        <v>122</v>
      </c>
      <c r="C54" s="329" t="s">
        <v>170</v>
      </c>
      <c r="D54" s="492"/>
      <c r="E54" s="492"/>
      <c r="F54" s="492"/>
      <c r="G54" s="492"/>
      <c r="H54" s="492"/>
      <c r="I54" s="492"/>
      <c r="J54" s="330"/>
      <c r="K54" s="136">
        <v>2E-3</v>
      </c>
      <c r="L54" s="137">
        <f t="shared" si="1"/>
        <v>3.52</v>
      </c>
    </row>
    <row r="55" spans="2:17" ht="15" customHeight="1">
      <c r="B55" s="64" t="s">
        <v>125</v>
      </c>
      <c r="C55" s="329" t="s">
        <v>172</v>
      </c>
      <c r="D55" s="492"/>
      <c r="E55" s="492"/>
      <c r="F55" s="492"/>
      <c r="G55" s="492"/>
      <c r="H55" s="492"/>
      <c r="I55" s="492"/>
      <c r="J55" s="330"/>
      <c r="K55" s="136">
        <v>0.08</v>
      </c>
      <c r="L55" s="137">
        <f t="shared" si="1"/>
        <v>140.62</v>
      </c>
    </row>
    <row r="56" spans="2:17" ht="15" customHeight="1">
      <c r="B56" s="499" t="s">
        <v>57</v>
      </c>
      <c r="C56" s="500"/>
      <c r="D56" s="500"/>
      <c r="E56" s="500"/>
      <c r="F56" s="500"/>
      <c r="G56" s="500"/>
      <c r="H56" s="500"/>
      <c r="I56" s="500"/>
      <c r="J56" s="501"/>
      <c r="K56" s="173">
        <f>SUM(K48:K55)</f>
        <v>0.3574</v>
      </c>
      <c r="L56" s="174">
        <f>SUM(L48:L55)</f>
        <v>628.23</v>
      </c>
    </row>
    <row r="57" spans="2:17" ht="11.25" hidden="1" customHeight="1">
      <c r="B57" s="520" t="s">
        <v>527</v>
      </c>
      <c r="C57" s="520"/>
      <c r="D57" s="520"/>
      <c r="E57" s="520"/>
      <c r="F57" s="520"/>
      <c r="G57" s="518"/>
      <c r="H57" s="518"/>
      <c r="I57" s="518"/>
      <c r="J57" s="518"/>
      <c r="K57" s="518"/>
      <c r="L57" s="518"/>
    </row>
    <row r="58" spans="2:17" ht="11.25" hidden="1" customHeight="1">
      <c r="B58" s="518" t="s">
        <v>528</v>
      </c>
      <c r="C58" s="518"/>
      <c r="D58" s="518"/>
      <c r="E58" s="518"/>
      <c r="F58" s="518"/>
      <c r="G58" s="518"/>
      <c r="H58" s="518"/>
      <c r="I58" s="518"/>
      <c r="J58" s="518"/>
      <c r="K58" s="518"/>
      <c r="L58" s="518"/>
    </row>
    <row r="59" spans="2:17" ht="11.25" hidden="1" customHeight="1">
      <c r="B59" s="518" t="s">
        <v>529</v>
      </c>
      <c r="C59" s="518"/>
      <c r="D59" s="518"/>
      <c r="E59" s="518"/>
      <c r="F59" s="518"/>
      <c r="G59" s="518"/>
      <c r="H59" s="518"/>
      <c r="I59" s="518"/>
      <c r="J59" s="518"/>
      <c r="K59" s="518"/>
      <c r="L59" s="518"/>
    </row>
    <row r="60" spans="2:17" ht="7.5" customHeight="1">
      <c r="B60" s="163"/>
      <c r="C60" s="163"/>
      <c r="D60" s="163"/>
      <c r="E60" s="163"/>
      <c r="F60" s="163"/>
      <c r="G60" s="164"/>
      <c r="H60" s="163"/>
      <c r="I60" s="164"/>
      <c r="J60" s="164"/>
      <c r="K60" s="165"/>
      <c r="L60" s="164"/>
    </row>
    <row r="61" spans="2:17" ht="15" customHeight="1">
      <c r="B61" s="499" t="s">
        <v>334</v>
      </c>
      <c r="C61" s="500"/>
      <c r="D61" s="500"/>
      <c r="E61" s="500"/>
      <c r="F61" s="500"/>
      <c r="G61" s="500"/>
      <c r="H61" s="500"/>
      <c r="I61" s="500"/>
      <c r="J61" s="500"/>
      <c r="K61" s="500"/>
      <c r="L61" s="501"/>
      <c r="Q61" s="175"/>
    </row>
    <row r="62" spans="2:17" ht="14.25" customHeight="1">
      <c r="B62" s="64" t="s">
        <v>321</v>
      </c>
      <c r="C62" s="499" t="s">
        <v>324</v>
      </c>
      <c r="D62" s="500"/>
      <c r="E62" s="500"/>
      <c r="F62" s="500"/>
      <c r="G62" s="500"/>
      <c r="H62" s="500"/>
      <c r="I62" s="500"/>
      <c r="J62" s="500"/>
      <c r="K62" s="501"/>
      <c r="L62" s="167" t="s">
        <v>108</v>
      </c>
    </row>
    <row r="63" spans="2:17" ht="15" customHeight="1">
      <c r="B63" s="176" t="s">
        <v>78</v>
      </c>
      <c r="C63" s="329" t="s">
        <v>133</v>
      </c>
      <c r="D63" s="492"/>
      <c r="E63" s="492"/>
      <c r="F63" s="492"/>
      <c r="G63" s="492"/>
      <c r="H63" s="492"/>
      <c r="I63" s="492"/>
      <c r="J63" s="492"/>
      <c r="K63" s="330"/>
      <c r="L63" s="177">
        <f>ROUND((22*2*4.5)-(L28*6%),2)</f>
        <v>110.43</v>
      </c>
    </row>
    <row r="64" spans="2:17" ht="15" customHeight="1">
      <c r="B64" s="176" t="s">
        <v>83</v>
      </c>
      <c r="C64" s="509" t="s">
        <v>376</v>
      </c>
      <c r="D64" s="510"/>
      <c r="E64" s="510"/>
      <c r="F64" s="510"/>
      <c r="G64" s="510"/>
      <c r="H64" s="510"/>
      <c r="I64" s="510"/>
      <c r="J64" s="510"/>
      <c r="K64" s="511"/>
      <c r="L64" s="177">
        <f>ROUND((26*22)*(1-1%),2)</f>
        <v>566.28</v>
      </c>
    </row>
    <row r="65" spans="2:12" ht="15" customHeight="1">
      <c r="B65" s="64" t="s">
        <v>86</v>
      </c>
      <c r="C65" s="329" t="s">
        <v>364</v>
      </c>
      <c r="D65" s="492"/>
      <c r="E65" s="492"/>
      <c r="F65" s="492"/>
      <c r="G65" s="492"/>
      <c r="H65" s="492"/>
      <c r="I65" s="492"/>
      <c r="J65" s="492"/>
      <c r="K65" s="330"/>
      <c r="L65" s="178">
        <v>47.1</v>
      </c>
    </row>
    <row r="66" spans="2:12" ht="15" customHeight="1">
      <c r="B66" s="176" t="s">
        <v>88</v>
      </c>
      <c r="C66" s="138" t="s">
        <v>365</v>
      </c>
      <c r="D66" s="139"/>
      <c r="E66" s="139"/>
      <c r="F66" s="139"/>
      <c r="G66" s="139"/>
      <c r="H66" s="139"/>
      <c r="I66" s="139"/>
      <c r="J66" s="139"/>
      <c r="K66" s="179"/>
      <c r="L66" s="178">
        <v>0</v>
      </c>
    </row>
    <row r="67" spans="2:12" ht="15" customHeight="1">
      <c r="B67" s="176" t="s">
        <v>113</v>
      </c>
      <c r="C67" s="329" t="s">
        <v>359</v>
      </c>
      <c r="D67" s="492"/>
      <c r="E67" s="492"/>
      <c r="F67" s="492"/>
      <c r="G67" s="492"/>
      <c r="H67" s="492"/>
      <c r="I67" s="492"/>
      <c r="J67" s="492"/>
      <c r="K67" s="330"/>
      <c r="L67" s="178">
        <v>100</v>
      </c>
    </row>
    <row r="68" spans="2:12" ht="15" customHeight="1">
      <c r="B68" s="176" t="s">
        <v>122</v>
      </c>
      <c r="C68" s="138" t="s">
        <v>126</v>
      </c>
      <c r="D68" s="139"/>
      <c r="E68" s="139"/>
      <c r="F68" s="139"/>
      <c r="G68" s="139"/>
      <c r="H68" s="139"/>
      <c r="I68" s="139"/>
      <c r="J68" s="139"/>
      <c r="K68" s="179"/>
      <c r="L68" s="178">
        <v>0</v>
      </c>
    </row>
    <row r="69" spans="2:12">
      <c r="B69" s="512" t="s">
        <v>143</v>
      </c>
      <c r="C69" s="512"/>
      <c r="D69" s="512"/>
      <c r="E69" s="512"/>
      <c r="F69" s="512"/>
      <c r="G69" s="512"/>
      <c r="H69" s="512"/>
      <c r="I69" s="512"/>
      <c r="J69" s="512"/>
      <c r="K69" s="512"/>
      <c r="L69" s="171">
        <f>SUM(L63:L68)</f>
        <v>823.81</v>
      </c>
    </row>
    <row r="70" spans="2:12" hidden="1">
      <c r="B70" s="521" t="s">
        <v>530</v>
      </c>
      <c r="C70" s="521"/>
      <c r="D70" s="521"/>
      <c r="E70" s="521"/>
      <c r="F70" s="521"/>
      <c r="G70" s="521"/>
      <c r="H70" s="521"/>
      <c r="I70" s="521"/>
      <c r="J70" s="521"/>
      <c r="K70" s="521"/>
      <c r="L70" s="521"/>
    </row>
    <row r="71" spans="2:12" ht="13.5" hidden="1" customHeight="1">
      <c r="B71" s="522" t="s">
        <v>531</v>
      </c>
      <c r="C71" s="522"/>
      <c r="D71" s="522"/>
      <c r="E71" s="522"/>
      <c r="F71" s="522"/>
      <c r="G71" s="522"/>
      <c r="H71" s="522"/>
      <c r="I71" s="522"/>
      <c r="J71" s="522"/>
      <c r="K71" s="522"/>
      <c r="L71" s="522"/>
    </row>
    <row r="72" spans="2:12" ht="7.5" customHeight="1">
      <c r="B72" s="163"/>
      <c r="C72" s="163"/>
      <c r="D72" s="163"/>
      <c r="E72" s="163"/>
      <c r="F72" s="163"/>
      <c r="G72" s="164"/>
      <c r="H72" s="163"/>
      <c r="I72" s="164"/>
      <c r="J72" s="164"/>
      <c r="K72" s="165"/>
      <c r="L72" s="164"/>
    </row>
    <row r="73" spans="2:12" ht="15" customHeight="1">
      <c r="B73" s="499" t="s">
        <v>325</v>
      </c>
      <c r="C73" s="500"/>
      <c r="D73" s="500"/>
      <c r="E73" s="500"/>
      <c r="F73" s="500"/>
      <c r="G73" s="500"/>
      <c r="H73" s="500"/>
      <c r="I73" s="500"/>
      <c r="J73" s="500"/>
      <c r="K73" s="500"/>
      <c r="L73" s="501"/>
    </row>
    <row r="74" spans="2:12" ht="15" customHeight="1">
      <c r="B74" s="499" t="s">
        <v>320</v>
      </c>
      <c r="C74" s="500"/>
      <c r="D74" s="500"/>
      <c r="E74" s="500"/>
      <c r="F74" s="500"/>
      <c r="G74" s="500"/>
      <c r="H74" s="500"/>
      <c r="I74" s="500"/>
      <c r="J74" s="500"/>
      <c r="K74" s="500"/>
      <c r="L74" s="501"/>
    </row>
    <row r="75" spans="2:12" ht="15" customHeight="1">
      <c r="B75" s="64" t="s">
        <v>316</v>
      </c>
      <c r="C75" s="499" t="s">
        <v>356</v>
      </c>
      <c r="D75" s="500"/>
      <c r="E75" s="500"/>
      <c r="F75" s="500"/>
      <c r="G75" s="500"/>
      <c r="H75" s="500"/>
      <c r="I75" s="500"/>
      <c r="J75" s="500"/>
      <c r="K75" s="501"/>
      <c r="L75" s="167" t="s">
        <v>108</v>
      </c>
    </row>
    <row r="76" spans="2:12" ht="15" customHeight="1">
      <c r="B76" s="64" t="s">
        <v>316</v>
      </c>
      <c r="C76" s="329" t="s">
        <v>323</v>
      </c>
      <c r="D76" s="492"/>
      <c r="E76" s="492"/>
      <c r="F76" s="492"/>
      <c r="G76" s="492"/>
      <c r="H76" s="492"/>
      <c r="I76" s="492"/>
      <c r="J76" s="492"/>
      <c r="K76" s="330"/>
      <c r="L76" s="137">
        <f>L41</f>
        <v>298.19</v>
      </c>
    </row>
    <row r="77" spans="2:12" ht="15" customHeight="1">
      <c r="B77" s="176" t="s">
        <v>318</v>
      </c>
      <c r="C77" s="329" t="s">
        <v>322</v>
      </c>
      <c r="D77" s="492"/>
      <c r="E77" s="492"/>
      <c r="F77" s="492"/>
      <c r="G77" s="492"/>
      <c r="H77" s="492"/>
      <c r="I77" s="492"/>
      <c r="J77" s="492"/>
      <c r="K77" s="330"/>
      <c r="L77" s="180">
        <f>L56</f>
        <v>628.23</v>
      </c>
    </row>
    <row r="78" spans="2:12" ht="15" customHeight="1">
      <c r="B78" s="176" t="s">
        <v>321</v>
      </c>
      <c r="C78" s="509" t="s">
        <v>324</v>
      </c>
      <c r="D78" s="510"/>
      <c r="E78" s="510"/>
      <c r="F78" s="510"/>
      <c r="G78" s="510"/>
      <c r="H78" s="510"/>
      <c r="I78" s="510"/>
      <c r="J78" s="510"/>
      <c r="K78" s="511"/>
      <c r="L78" s="181">
        <f>L69</f>
        <v>823.81</v>
      </c>
    </row>
    <row r="79" spans="2:12" ht="15" customHeight="1">
      <c r="B79" s="499" t="s">
        <v>57</v>
      </c>
      <c r="C79" s="500"/>
      <c r="D79" s="500"/>
      <c r="E79" s="500"/>
      <c r="F79" s="500"/>
      <c r="G79" s="500"/>
      <c r="H79" s="500"/>
      <c r="I79" s="500"/>
      <c r="J79" s="500"/>
      <c r="K79" s="501"/>
      <c r="L79" s="171">
        <f>SUM(L76:L78)</f>
        <v>1750.23</v>
      </c>
    </row>
    <row r="80" spans="2:12" ht="7.5" customHeight="1">
      <c r="B80" s="163"/>
      <c r="C80" s="163"/>
      <c r="D80" s="163"/>
      <c r="E80" s="163"/>
      <c r="F80" s="163"/>
      <c r="G80" s="164"/>
      <c r="H80" s="163"/>
      <c r="I80" s="164"/>
      <c r="J80" s="164"/>
      <c r="K80" s="165"/>
      <c r="L80" s="164"/>
    </row>
    <row r="81" spans="2:15" ht="15" customHeight="1">
      <c r="B81" s="499" t="s">
        <v>369</v>
      </c>
      <c r="C81" s="500"/>
      <c r="D81" s="500"/>
      <c r="E81" s="500"/>
      <c r="F81" s="500"/>
      <c r="G81" s="500"/>
      <c r="H81" s="500"/>
      <c r="I81" s="500"/>
      <c r="J81" s="500"/>
      <c r="K81" s="500"/>
      <c r="L81" s="501"/>
    </row>
    <row r="82" spans="2:15" ht="15" customHeight="1">
      <c r="B82" s="499" t="s">
        <v>326</v>
      </c>
      <c r="C82" s="500"/>
      <c r="D82" s="500"/>
      <c r="E82" s="500"/>
      <c r="F82" s="500"/>
      <c r="G82" s="500"/>
      <c r="H82" s="500"/>
      <c r="I82" s="500"/>
      <c r="J82" s="500"/>
      <c r="K82" s="500"/>
      <c r="L82" s="501"/>
    </row>
    <row r="83" spans="2:15">
      <c r="B83" s="64">
        <v>3</v>
      </c>
      <c r="C83" s="499" t="s">
        <v>190</v>
      </c>
      <c r="D83" s="500"/>
      <c r="E83" s="500"/>
      <c r="F83" s="500"/>
      <c r="G83" s="500"/>
      <c r="H83" s="500"/>
      <c r="I83" s="500"/>
      <c r="J83" s="501"/>
      <c r="K83" s="172" t="s">
        <v>166</v>
      </c>
      <c r="L83" s="167" t="s">
        <v>108</v>
      </c>
    </row>
    <row r="84" spans="2:15" ht="15" customHeight="1">
      <c r="B84" s="64" t="s">
        <v>78</v>
      </c>
      <c r="C84" s="329" t="s">
        <v>192</v>
      </c>
      <c r="D84" s="492"/>
      <c r="E84" s="492"/>
      <c r="F84" s="492"/>
      <c r="G84" s="492"/>
      <c r="H84" s="492"/>
      <c r="I84" s="492"/>
      <c r="J84" s="330"/>
      <c r="K84" s="136">
        <v>4.1999999999999997E-3</v>
      </c>
      <c r="L84" s="137">
        <f>ROUND(K84*$L$34,2)</f>
        <v>6.13</v>
      </c>
      <c r="N84" s="182"/>
      <c r="O84" s="183"/>
    </row>
    <row r="85" spans="2:15" ht="15" customHeight="1">
      <c r="B85" s="64" t="s">
        <v>83</v>
      </c>
      <c r="C85" s="509" t="s">
        <v>193</v>
      </c>
      <c r="D85" s="510"/>
      <c r="E85" s="510"/>
      <c r="F85" s="510"/>
      <c r="G85" s="510"/>
      <c r="H85" s="510"/>
      <c r="I85" s="510"/>
      <c r="J85" s="511"/>
      <c r="K85" s="136">
        <v>2.9999999999999997E-4</v>
      </c>
      <c r="L85" s="137">
        <f t="shared" ref="L85:L89" si="2">ROUND(K85*$L$34,2)</f>
        <v>0.44</v>
      </c>
      <c r="N85" s="182"/>
      <c r="O85" s="183"/>
    </row>
    <row r="86" spans="2:15" ht="15" customHeight="1">
      <c r="B86" s="64" t="s">
        <v>86</v>
      </c>
      <c r="C86" s="329" t="s">
        <v>194</v>
      </c>
      <c r="D86" s="492"/>
      <c r="E86" s="492"/>
      <c r="F86" s="492"/>
      <c r="G86" s="492"/>
      <c r="H86" s="492"/>
      <c r="I86" s="492"/>
      <c r="J86" s="330"/>
      <c r="K86" s="136">
        <v>1.6999999999999999E-3</v>
      </c>
      <c r="L86" s="137">
        <f t="shared" si="2"/>
        <v>2.48</v>
      </c>
      <c r="N86" s="182"/>
      <c r="O86" s="183"/>
    </row>
    <row r="87" spans="2:15" ht="15" customHeight="1">
      <c r="B87" s="64" t="s">
        <v>88</v>
      </c>
      <c r="C87" s="523" t="s">
        <v>195</v>
      </c>
      <c r="D87" s="524"/>
      <c r="E87" s="524"/>
      <c r="F87" s="524"/>
      <c r="G87" s="524"/>
      <c r="H87" s="524"/>
      <c r="I87" s="524"/>
      <c r="J87" s="525"/>
      <c r="K87" s="173">
        <v>1.9400000000000001E-2</v>
      </c>
      <c r="L87" s="137">
        <f t="shared" si="2"/>
        <v>28.32</v>
      </c>
      <c r="N87" s="182"/>
      <c r="O87" s="183"/>
    </row>
    <row r="88" spans="2:15" ht="15" customHeight="1">
      <c r="B88" s="64" t="s">
        <v>113</v>
      </c>
      <c r="C88" s="509" t="s">
        <v>327</v>
      </c>
      <c r="D88" s="510"/>
      <c r="E88" s="510"/>
      <c r="F88" s="510"/>
      <c r="G88" s="510"/>
      <c r="H88" s="510"/>
      <c r="I88" s="510"/>
      <c r="J88" s="511"/>
      <c r="K88" s="136">
        <v>6.8999999999999999E-3</v>
      </c>
      <c r="L88" s="137">
        <f t="shared" si="2"/>
        <v>10.07</v>
      </c>
      <c r="N88" s="182"/>
      <c r="O88" s="183"/>
    </row>
    <row r="89" spans="2:15" ht="15" customHeight="1">
      <c r="B89" s="176" t="s">
        <v>116</v>
      </c>
      <c r="C89" s="329" t="s">
        <v>197</v>
      </c>
      <c r="D89" s="492"/>
      <c r="E89" s="492"/>
      <c r="F89" s="492"/>
      <c r="G89" s="492"/>
      <c r="H89" s="492"/>
      <c r="I89" s="492"/>
      <c r="J89" s="330"/>
      <c r="K89" s="136">
        <v>3.2000000000000001E-2</v>
      </c>
      <c r="L89" s="137">
        <f t="shared" si="2"/>
        <v>46.71</v>
      </c>
      <c r="N89" s="182"/>
      <c r="O89" s="183"/>
    </row>
    <row r="90" spans="2:15" ht="17.25" customHeight="1">
      <c r="B90" s="499" t="s">
        <v>57</v>
      </c>
      <c r="C90" s="500"/>
      <c r="D90" s="500"/>
      <c r="E90" s="500"/>
      <c r="F90" s="500"/>
      <c r="G90" s="500"/>
      <c r="H90" s="500"/>
      <c r="I90" s="500"/>
      <c r="J90" s="501"/>
      <c r="K90" s="173">
        <f>SUM(K84:K89)</f>
        <v>6.4500000000000002E-2</v>
      </c>
      <c r="L90" s="171">
        <f>SUM(L84:L89)</f>
        <v>94.15</v>
      </c>
      <c r="N90" s="182"/>
      <c r="O90" s="183"/>
    </row>
    <row r="91" spans="2:15" ht="38.25" hidden="1" customHeight="1">
      <c r="B91" s="518" t="s">
        <v>532</v>
      </c>
      <c r="C91" s="518"/>
      <c r="D91" s="518"/>
      <c r="E91" s="518"/>
      <c r="F91" s="518"/>
      <c r="G91" s="518"/>
      <c r="H91" s="518"/>
      <c r="I91" s="518"/>
      <c r="J91" s="518"/>
      <c r="K91" s="518"/>
      <c r="L91" s="518"/>
    </row>
    <row r="92" spans="2:15" ht="8.25" customHeight="1">
      <c r="B92" s="163"/>
      <c r="C92" s="163"/>
      <c r="D92" s="163"/>
      <c r="E92" s="163"/>
      <c r="F92" s="163"/>
      <c r="G92" s="164"/>
      <c r="H92" s="163"/>
      <c r="I92" s="164"/>
      <c r="J92" s="164"/>
      <c r="K92" s="165"/>
      <c r="L92" s="164"/>
    </row>
    <row r="93" spans="2:15" ht="15" customHeight="1">
      <c r="B93" s="512" t="s">
        <v>328</v>
      </c>
      <c r="C93" s="512"/>
      <c r="D93" s="512"/>
      <c r="E93" s="512"/>
      <c r="F93" s="512"/>
      <c r="G93" s="512"/>
      <c r="H93" s="512"/>
      <c r="I93" s="512"/>
      <c r="J93" s="512"/>
      <c r="K93" s="512"/>
      <c r="L93" s="512"/>
    </row>
    <row r="94" spans="2:15" ht="15" customHeight="1">
      <c r="B94" s="499" t="s">
        <v>370</v>
      </c>
      <c r="C94" s="500"/>
      <c r="D94" s="500"/>
      <c r="E94" s="500"/>
      <c r="F94" s="500"/>
      <c r="G94" s="500"/>
      <c r="H94" s="500"/>
      <c r="I94" s="500"/>
      <c r="J94" s="500"/>
      <c r="K94" s="500"/>
      <c r="L94" s="501"/>
    </row>
    <row r="95" spans="2:15" ht="15" customHeight="1">
      <c r="B95" s="64" t="s">
        <v>165</v>
      </c>
      <c r="C95" s="499" t="s">
        <v>332</v>
      </c>
      <c r="D95" s="500"/>
      <c r="E95" s="500"/>
      <c r="F95" s="500"/>
      <c r="G95" s="500"/>
      <c r="H95" s="500"/>
      <c r="I95" s="500"/>
      <c r="J95" s="501"/>
      <c r="K95" s="172" t="s">
        <v>166</v>
      </c>
      <c r="L95" s="167" t="s">
        <v>108</v>
      </c>
    </row>
    <row r="96" spans="2:15" ht="15" customHeight="1">
      <c r="B96" s="64" t="s">
        <v>78</v>
      </c>
      <c r="C96" s="329" t="s">
        <v>477</v>
      </c>
      <c r="D96" s="492"/>
      <c r="E96" s="492"/>
      <c r="F96" s="492"/>
      <c r="G96" s="492"/>
      <c r="H96" s="492"/>
      <c r="I96" s="492"/>
      <c r="J96" s="330"/>
      <c r="K96" s="136">
        <v>9.2999999999999992E-3</v>
      </c>
      <c r="L96" s="184">
        <f>ROUND(K96*$L$34,2)</f>
        <v>13.57</v>
      </c>
    </row>
    <row r="97" spans="2:13" ht="15" customHeight="1">
      <c r="B97" s="64" t="s">
        <v>83</v>
      </c>
      <c r="C97" s="509" t="s">
        <v>207</v>
      </c>
      <c r="D97" s="510"/>
      <c r="E97" s="510"/>
      <c r="F97" s="510"/>
      <c r="G97" s="510"/>
      <c r="H97" s="510"/>
      <c r="I97" s="510"/>
      <c r="J97" s="511"/>
      <c r="K97" s="136">
        <v>5.0000000000000001E-4</v>
      </c>
      <c r="L97" s="184">
        <f t="shared" ref="L97:L102" si="3">ROUND(K97*$L$34,2)</f>
        <v>0.73</v>
      </c>
    </row>
    <row r="98" spans="2:13" ht="15" customHeight="1">
      <c r="B98" s="64" t="s">
        <v>86</v>
      </c>
      <c r="C98" s="329" t="s">
        <v>478</v>
      </c>
      <c r="D98" s="492"/>
      <c r="E98" s="492"/>
      <c r="F98" s="492"/>
      <c r="G98" s="492"/>
      <c r="H98" s="492"/>
      <c r="I98" s="492"/>
      <c r="J98" s="330"/>
      <c r="K98" s="136">
        <v>5.0000000000000001E-4</v>
      </c>
      <c r="L98" s="184">
        <f t="shared" si="3"/>
        <v>0.73</v>
      </c>
    </row>
    <row r="99" spans="2:13" ht="15" customHeight="1">
      <c r="B99" s="64" t="s">
        <v>88</v>
      </c>
      <c r="C99" s="329" t="s">
        <v>479</v>
      </c>
      <c r="D99" s="492"/>
      <c r="E99" s="492"/>
      <c r="F99" s="492"/>
      <c r="G99" s="492"/>
      <c r="H99" s="492"/>
      <c r="I99" s="492"/>
      <c r="J99" s="330"/>
      <c r="K99" s="136">
        <v>5.0000000000000001E-4</v>
      </c>
      <c r="L99" s="184">
        <f t="shared" si="3"/>
        <v>0.73</v>
      </c>
    </row>
    <row r="100" spans="2:13" ht="15" customHeight="1">
      <c r="B100" s="64" t="s">
        <v>113</v>
      </c>
      <c r="C100" s="329" t="s">
        <v>480</v>
      </c>
      <c r="D100" s="492"/>
      <c r="E100" s="492"/>
      <c r="F100" s="492"/>
      <c r="G100" s="492"/>
      <c r="H100" s="492"/>
      <c r="I100" s="492"/>
      <c r="J100" s="330"/>
      <c r="K100" s="136">
        <v>5.0000000000000001E-4</v>
      </c>
      <c r="L100" s="184">
        <f t="shared" si="3"/>
        <v>0.73</v>
      </c>
    </row>
    <row r="101" spans="2:13" ht="15" customHeight="1">
      <c r="B101" s="176" t="s">
        <v>116</v>
      </c>
      <c r="C101" s="329" t="s">
        <v>368</v>
      </c>
      <c r="D101" s="492"/>
      <c r="E101" s="492"/>
      <c r="F101" s="492"/>
      <c r="G101" s="492"/>
      <c r="H101" s="492"/>
      <c r="I101" s="492"/>
      <c r="J101" s="330"/>
      <c r="K101" s="136">
        <v>0</v>
      </c>
      <c r="L101" s="184">
        <f t="shared" si="3"/>
        <v>0</v>
      </c>
    </row>
    <row r="102" spans="2:13" ht="15" customHeight="1">
      <c r="B102" s="499" t="s">
        <v>183</v>
      </c>
      <c r="C102" s="500"/>
      <c r="D102" s="500"/>
      <c r="E102" s="500"/>
      <c r="F102" s="500"/>
      <c r="G102" s="500"/>
      <c r="H102" s="500"/>
      <c r="I102" s="500"/>
      <c r="J102" s="501"/>
      <c r="K102" s="173">
        <f>SUM(K96:K101)</f>
        <v>1.1299999999999999E-2</v>
      </c>
      <c r="L102" s="171">
        <f t="shared" si="3"/>
        <v>16.489999999999998</v>
      </c>
      <c r="M102" s="185"/>
    </row>
    <row r="103" spans="2:13" ht="22.5" hidden="1" customHeight="1">
      <c r="B103" s="526" t="s">
        <v>333</v>
      </c>
      <c r="C103" s="526"/>
      <c r="D103" s="526"/>
      <c r="E103" s="526"/>
      <c r="F103" s="526"/>
      <c r="G103" s="526"/>
      <c r="H103" s="526"/>
      <c r="I103" s="526"/>
      <c r="J103" s="526"/>
      <c r="K103" s="526"/>
      <c r="L103" s="526"/>
    </row>
    <row r="104" spans="2:13" ht="7.5" customHeight="1">
      <c r="B104" s="163"/>
      <c r="C104" s="163"/>
      <c r="D104" s="163"/>
      <c r="E104" s="163"/>
      <c r="F104" s="163"/>
      <c r="G104" s="164"/>
      <c r="H104" s="163"/>
      <c r="I104" s="164"/>
      <c r="J104" s="164"/>
      <c r="K104" s="165"/>
      <c r="L104" s="164"/>
    </row>
    <row r="105" spans="2:13" ht="15" customHeight="1">
      <c r="B105" s="512" t="s">
        <v>371</v>
      </c>
      <c r="C105" s="512"/>
      <c r="D105" s="512"/>
      <c r="E105" s="512"/>
      <c r="F105" s="512"/>
      <c r="G105" s="512"/>
      <c r="H105" s="512"/>
      <c r="I105" s="512"/>
      <c r="J105" s="512"/>
      <c r="K105" s="512"/>
      <c r="L105" s="512"/>
    </row>
    <row r="106" spans="2:13" ht="15" customHeight="1">
      <c r="B106" s="64" t="s">
        <v>179</v>
      </c>
      <c r="C106" s="499" t="s">
        <v>329</v>
      </c>
      <c r="D106" s="500"/>
      <c r="E106" s="500"/>
      <c r="F106" s="500"/>
      <c r="G106" s="500"/>
      <c r="H106" s="500"/>
      <c r="I106" s="500"/>
      <c r="J106" s="500"/>
      <c r="K106" s="501"/>
      <c r="L106" s="167" t="s">
        <v>108</v>
      </c>
    </row>
    <row r="107" spans="2:13" ht="18" customHeight="1">
      <c r="B107" s="176" t="s">
        <v>78</v>
      </c>
      <c r="C107" s="509" t="s">
        <v>372</v>
      </c>
      <c r="D107" s="510"/>
      <c r="E107" s="510"/>
      <c r="F107" s="510"/>
      <c r="G107" s="510"/>
      <c r="H107" s="510"/>
      <c r="I107" s="510"/>
      <c r="J107" s="510"/>
      <c r="K107" s="511"/>
      <c r="L107" s="186">
        <f>(((L28+L29+L30+L31)/220)+((L28+L29+L30+L31)/220)*50%)*22*0</f>
        <v>0</v>
      </c>
    </row>
    <row r="108" spans="2:13" ht="15" customHeight="1">
      <c r="B108" s="499" t="s">
        <v>57</v>
      </c>
      <c r="C108" s="500"/>
      <c r="D108" s="500"/>
      <c r="E108" s="500"/>
      <c r="F108" s="500"/>
      <c r="G108" s="500"/>
      <c r="H108" s="500"/>
      <c r="I108" s="500"/>
      <c r="J108" s="500"/>
      <c r="K108" s="501"/>
      <c r="L108" s="171">
        <f>SUM(L106:L107)</f>
        <v>0</v>
      </c>
    </row>
    <row r="109" spans="2:13" ht="6" customHeight="1"/>
    <row r="110" spans="2:13" ht="27" hidden="1" customHeight="1">
      <c r="B110" s="190" t="s">
        <v>145</v>
      </c>
      <c r="C110" s="191"/>
      <c r="D110" s="191"/>
      <c r="E110" s="191"/>
      <c r="F110" s="191"/>
      <c r="G110" s="509" t="s">
        <v>198</v>
      </c>
      <c r="H110" s="510"/>
      <c r="I110" s="510"/>
      <c r="J110" s="510"/>
      <c r="K110" s="510"/>
      <c r="L110" s="511"/>
    </row>
    <row r="111" spans="2:13" ht="24.75" hidden="1" customHeight="1">
      <c r="B111" s="190" t="s">
        <v>148</v>
      </c>
      <c r="C111" s="191"/>
      <c r="D111" s="191"/>
      <c r="E111" s="191"/>
      <c r="F111" s="191"/>
      <c r="G111" s="509" t="s">
        <v>199</v>
      </c>
      <c r="H111" s="510"/>
      <c r="I111" s="510"/>
      <c r="J111" s="510"/>
      <c r="K111" s="510"/>
      <c r="L111" s="511"/>
    </row>
    <row r="112" spans="2:13" ht="6" customHeight="1"/>
    <row r="113" spans="2:12" ht="16.5" customHeight="1">
      <c r="B113" s="502" t="s">
        <v>533</v>
      </c>
      <c r="C113" s="503"/>
      <c r="D113" s="503"/>
      <c r="E113" s="503"/>
      <c r="F113" s="503"/>
      <c r="G113" s="503"/>
      <c r="H113" s="503"/>
      <c r="I113" s="503"/>
      <c r="J113" s="503"/>
      <c r="K113" s="503"/>
      <c r="L113" s="504"/>
    </row>
    <row r="114" spans="2:12" ht="15" customHeight="1">
      <c r="B114" s="499" t="s">
        <v>330</v>
      </c>
      <c r="C114" s="500"/>
      <c r="D114" s="500"/>
      <c r="E114" s="500"/>
      <c r="F114" s="500"/>
      <c r="G114" s="500"/>
      <c r="H114" s="500"/>
      <c r="I114" s="500"/>
      <c r="J114" s="500"/>
      <c r="K114" s="500"/>
      <c r="L114" s="501"/>
    </row>
    <row r="115" spans="2:12" ht="15" customHeight="1">
      <c r="B115" s="64" t="s">
        <v>165</v>
      </c>
      <c r="C115" s="499" t="s">
        <v>331</v>
      </c>
      <c r="D115" s="500"/>
      <c r="E115" s="500"/>
      <c r="F115" s="500"/>
      <c r="G115" s="500"/>
      <c r="H115" s="500"/>
      <c r="I115" s="500"/>
      <c r="J115" s="500"/>
      <c r="K115" s="501"/>
      <c r="L115" s="167" t="s">
        <v>108</v>
      </c>
    </row>
    <row r="116" spans="2:12" ht="15" customHeight="1">
      <c r="B116" s="64" t="s">
        <v>165</v>
      </c>
      <c r="C116" s="329" t="s">
        <v>367</v>
      </c>
      <c r="D116" s="492"/>
      <c r="E116" s="492"/>
      <c r="F116" s="492"/>
      <c r="G116" s="492"/>
      <c r="H116" s="492"/>
      <c r="I116" s="492"/>
      <c r="J116" s="492"/>
      <c r="K116" s="330"/>
      <c r="L116" s="137">
        <f>L102</f>
        <v>16.489999999999998</v>
      </c>
    </row>
    <row r="117" spans="2:12" ht="15" customHeight="1">
      <c r="B117" s="176" t="s">
        <v>179</v>
      </c>
      <c r="C117" s="329" t="s">
        <v>373</v>
      </c>
      <c r="D117" s="492"/>
      <c r="E117" s="492"/>
      <c r="F117" s="492"/>
      <c r="G117" s="492"/>
      <c r="H117" s="492"/>
      <c r="I117" s="492"/>
      <c r="J117" s="492"/>
      <c r="K117" s="330"/>
      <c r="L117" s="180">
        <f>L108</f>
        <v>0</v>
      </c>
    </row>
    <row r="118" spans="2:12" ht="15" customHeight="1">
      <c r="B118" s="499" t="s">
        <v>57</v>
      </c>
      <c r="C118" s="500"/>
      <c r="D118" s="500"/>
      <c r="E118" s="500"/>
      <c r="F118" s="500"/>
      <c r="G118" s="500"/>
      <c r="H118" s="500"/>
      <c r="I118" s="500"/>
      <c r="J118" s="500"/>
      <c r="K118" s="501"/>
      <c r="L118" s="171">
        <f>SUM(L116:L117)</f>
        <v>16.489999999999998</v>
      </c>
    </row>
    <row r="119" spans="2:12" ht="15" customHeight="1">
      <c r="B119" s="512" t="s">
        <v>328</v>
      </c>
      <c r="C119" s="512"/>
      <c r="D119" s="512"/>
      <c r="E119" s="512"/>
      <c r="F119" s="512"/>
      <c r="G119" s="512"/>
      <c r="H119" s="512"/>
      <c r="I119" s="512"/>
      <c r="J119" s="512"/>
      <c r="K119" s="512"/>
      <c r="L119" s="512"/>
    </row>
    <row r="120" spans="2:12" ht="8.25" customHeight="1"/>
    <row r="121" spans="2:12" ht="14.25" customHeight="1">
      <c r="B121" s="499" t="s">
        <v>335</v>
      </c>
      <c r="C121" s="500"/>
      <c r="D121" s="500"/>
      <c r="E121" s="500"/>
      <c r="F121" s="500"/>
      <c r="G121" s="500"/>
      <c r="H121" s="500"/>
      <c r="I121" s="500"/>
      <c r="J121" s="500"/>
      <c r="K121" s="500"/>
      <c r="L121" s="501"/>
    </row>
    <row r="122" spans="2:12" ht="15" customHeight="1">
      <c r="B122" s="64" t="s">
        <v>336</v>
      </c>
      <c r="C122" s="499" t="s">
        <v>155</v>
      </c>
      <c r="D122" s="500"/>
      <c r="E122" s="500"/>
      <c r="F122" s="500"/>
      <c r="G122" s="500"/>
      <c r="H122" s="500"/>
      <c r="I122" s="500"/>
      <c r="J122" s="500"/>
      <c r="K122" s="501"/>
      <c r="L122" s="167" t="s">
        <v>108</v>
      </c>
    </row>
    <row r="123" spans="2:12" ht="15" customHeight="1">
      <c r="B123" s="64" t="s">
        <v>78</v>
      </c>
      <c r="C123" s="329" t="s">
        <v>156</v>
      </c>
      <c r="D123" s="492"/>
      <c r="E123" s="492"/>
      <c r="F123" s="492"/>
      <c r="G123" s="492"/>
      <c r="H123" s="492"/>
      <c r="I123" s="492"/>
      <c r="J123" s="492"/>
      <c r="K123" s="330"/>
      <c r="L123" s="137">
        <f>'UNIFORMES E EPI'!F32</f>
        <v>270</v>
      </c>
    </row>
    <row r="124" spans="2:12" ht="15" customHeight="1">
      <c r="B124" s="64" t="s">
        <v>83</v>
      </c>
      <c r="C124" s="329" t="s">
        <v>157</v>
      </c>
      <c r="D124" s="492"/>
      <c r="E124" s="492"/>
      <c r="F124" s="492"/>
      <c r="G124" s="492"/>
      <c r="H124" s="492"/>
      <c r="I124" s="492"/>
      <c r="J124" s="492"/>
      <c r="K124" s="330"/>
      <c r="L124" s="137"/>
    </row>
    <row r="125" spans="2:12" ht="15" customHeight="1">
      <c r="B125" s="64" t="s">
        <v>86</v>
      </c>
      <c r="C125" s="329" t="s">
        <v>158</v>
      </c>
      <c r="D125" s="492"/>
      <c r="E125" s="492"/>
      <c r="F125" s="492"/>
      <c r="G125" s="492"/>
      <c r="H125" s="492"/>
      <c r="I125" s="492"/>
      <c r="J125" s="492"/>
      <c r="K125" s="330"/>
      <c r="L125" s="137"/>
    </row>
    <row r="126" spans="2:12" ht="15" customHeight="1">
      <c r="B126" s="176" t="s">
        <v>116</v>
      </c>
      <c r="C126" s="509" t="s">
        <v>141</v>
      </c>
      <c r="D126" s="510"/>
      <c r="E126" s="510"/>
      <c r="F126" s="510"/>
      <c r="G126" s="510"/>
      <c r="H126" s="510"/>
      <c r="I126" s="510"/>
      <c r="J126" s="510"/>
      <c r="K126" s="511"/>
      <c r="L126" s="192">
        <v>32.520000000000003</v>
      </c>
    </row>
    <row r="127" spans="2:12" ht="15" customHeight="1">
      <c r="B127" s="512" t="s">
        <v>159</v>
      </c>
      <c r="C127" s="512"/>
      <c r="D127" s="512"/>
      <c r="E127" s="512"/>
      <c r="F127" s="512"/>
      <c r="G127" s="512"/>
      <c r="H127" s="512"/>
      <c r="I127" s="512"/>
      <c r="J127" s="512"/>
      <c r="K127" s="512"/>
      <c r="L127" s="171">
        <f>SUM(L123:L126)</f>
        <v>302.52</v>
      </c>
    </row>
    <row r="128" spans="2:12" hidden="1">
      <c r="B128" s="531" t="s">
        <v>534</v>
      </c>
      <c r="C128" s="531"/>
      <c r="D128" s="531"/>
      <c r="E128" s="531"/>
      <c r="F128" s="531"/>
      <c r="G128" s="531"/>
      <c r="H128" s="531"/>
      <c r="I128" s="531"/>
      <c r="J128" s="531"/>
      <c r="K128" s="531"/>
      <c r="L128" s="531"/>
    </row>
    <row r="130" spans="2:12" ht="15" customHeight="1">
      <c r="B130" s="499" t="s">
        <v>338</v>
      </c>
      <c r="C130" s="500"/>
      <c r="D130" s="500"/>
      <c r="E130" s="500"/>
      <c r="F130" s="500"/>
      <c r="G130" s="500"/>
      <c r="H130" s="500"/>
      <c r="I130" s="500"/>
      <c r="J130" s="500"/>
      <c r="K130" s="500"/>
      <c r="L130" s="501"/>
    </row>
    <row r="131" spans="2:12" ht="15" customHeight="1">
      <c r="B131" s="64">
        <v>5</v>
      </c>
      <c r="C131" s="499" t="s">
        <v>216</v>
      </c>
      <c r="D131" s="500"/>
      <c r="E131" s="500"/>
      <c r="F131" s="500"/>
      <c r="G131" s="500"/>
      <c r="H131" s="500"/>
      <c r="I131" s="500"/>
      <c r="J131" s="501"/>
      <c r="K131" s="172" t="s">
        <v>166</v>
      </c>
      <c r="L131" s="167" t="s">
        <v>108</v>
      </c>
    </row>
    <row r="132" spans="2:12" ht="15" customHeight="1">
      <c r="B132" s="64" t="s">
        <v>78</v>
      </c>
      <c r="C132" s="329" t="s">
        <v>217</v>
      </c>
      <c r="D132" s="492"/>
      <c r="E132" s="492"/>
      <c r="F132" s="492"/>
      <c r="G132" s="492"/>
      <c r="H132" s="492"/>
      <c r="I132" s="492"/>
      <c r="J132" s="330"/>
      <c r="K132" s="168">
        <f>ENCARREGADO!K132</f>
        <v>0.05</v>
      </c>
      <c r="L132" s="137">
        <f>ROUND(K132*L152,2)</f>
        <v>181.15</v>
      </c>
    </row>
    <row r="133" spans="2:12" ht="15" customHeight="1">
      <c r="B133" s="64" t="s">
        <v>83</v>
      </c>
      <c r="C133" s="329" t="s">
        <v>218</v>
      </c>
      <c r="D133" s="492"/>
      <c r="E133" s="492"/>
      <c r="F133" s="492"/>
      <c r="G133" s="492"/>
      <c r="H133" s="492"/>
      <c r="I133" s="492"/>
      <c r="J133" s="330"/>
      <c r="K133" s="168">
        <f>ENCARREGADO!K133</f>
        <v>0.05</v>
      </c>
      <c r="L133" s="137">
        <f>ROUND((L132+L152)*K133,2)</f>
        <v>190.2</v>
      </c>
    </row>
    <row r="134" spans="2:12" ht="15" customHeight="1">
      <c r="B134" s="502" t="s">
        <v>219</v>
      </c>
      <c r="C134" s="503"/>
      <c r="D134" s="503"/>
      <c r="E134" s="503"/>
      <c r="F134" s="503"/>
      <c r="G134" s="503"/>
      <c r="H134" s="503"/>
      <c r="I134" s="503"/>
      <c r="J134" s="504"/>
      <c r="K134" s="173"/>
      <c r="L134" s="171">
        <f>SUM(L132:L133)</f>
        <v>371.35</v>
      </c>
    </row>
    <row r="135" spans="2:12" ht="15" customHeight="1">
      <c r="B135" s="527" t="s">
        <v>86</v>
      </c>
      <c r="C135" s="512" t="s">
        <v>220</v>
      </c>
      <c r="D135" s="512"/>
      <c r="E135" s="512"/>
      <c r="F135" s="512"/>
      <c r="G135" s="512"/>
      <c r="H135" s="512"/>
      <c r="I135" s="512"/>
      <c r="J135" s="512"/>
      <c r="K135" s="512"/>
      <c r="L135" s="512"/>
    </row>
    <row r="136" spans="2:12" ht="15" customHeight="1">
      <c r="B136" s="528"/>
      <c r="C136" s="530" t="s">
        <v>360</v>
      </c>
      <c r="D136" s="530"/>
      <c r="E136" s="530"/>
      <c r="F136" s="530"/>
      <c r="G136" s="530"/>
      <c r="H136" s="530"/>
      <c r="I136" s="530"/>
      <c r="J136" s="193" t="s">
        <v>222</v>
      </c>
      <c r="K136" s="136">
        <v>0.03</v>
      </c>
      <c r="L136" s="137">
        <f>((L152+L132+L133)/(1-(K136+K137+K138))*K136)</f>
        <v>131.18</v>
      </c>
    </row>
    <row r="137" spans="2:12" ht="15" customHeight="1">
      <c r="B137" s="528"/>
      <c r="C137" s="530"/>
      <c r="D137" s="530"/>
      <c r="E137" s="530"/>
      <c r="F137" s="530"/>
      <c r="G137" s="530"/>
      <c r="H137" s="530"/>
      <c r="I137" s="530"/>
      <c r="J137" s="193" t="s">
        <v>223</v>
      </c>
      <c r="K137" s="136">
        <v>6.4999999999999997E-3</v>
      </c>
      <c r="L137" s="137">
        <f>((L152+L132+L133)/(1-(K136+K137+K138))*K137)</f>
        <v>28.42</v>
      </c>
    </row>
    <row r="138" spans="2:12" ht="15" customHeight="1">
      <c r="B138" s="528"/>
      <c r="C138" s="530" t="s">
        <v>361</v>
      </c>
      <c r="D138" s="530"/>
      <c r="E138" s="530"/>
      <c r="F138" s="530"/>
      <c r="G138" s="530"/>
      <c r="H138" s="530"/>
      <c r="I138" s="530"/>
      <c r="J138" s="193" t="s">
        <v>225</v>
      </c>
      <c r="K138" s="136">
        <v>0.05</v>
      </c>
      <c r="L138" s="137">
        <f>((L152+L132+L133)/(1-(K136+K137+K138))*K138)</f>
        <v>218.63</v>
      </c>
    </row>
    <row r="139" spans="2:12" ht="15" customHeight="1">
      <c r="B139" s="529"/>
      <c r="C139" s="530" t="s">
        <v>362</v>
      </c>
      <c r="D139" s="530"/>
      <c r="E139" s="530"/>
      <c r="F139" s="530"/>
      <c r="G139" s="530"/>
      <c r="H139" s="530"/>
      <c r="I139" s="530"/>
      <c r="J139" s="193"/>
      <c r="K139" s="136">
        <v>0</v>
      </c>
      <c r="L139" s="137">
        <f>((L152+L132+L133)/(1-(K136+K137+K138+K139))*K139)</f>
        <v>0</v>
      </c>
    </row>
    <row r="140" spans="2:12" ht="15" customHeight="1">
      <c r="B140" s="502" t="s">
        <v>227</v>
      </c>
      <c r="C140" s="503"/>
      <c r="D140" s="503"/>
      <c r="E140" s="503"/>
      <c r="F140" s="503"/>
      <c r="G140" s="503"/>
      <c r="H140" s="503"/>
      <c r="I140" s="504"/>
      <c r="J140" s="194"/>
      <c r="K140" s="173">
        <f>SUM(K136:K139)</f>
        <v>8.6499999999999994E-2</v>
      </c>
      <c r="L140" s="171">
        <f>SUM(L136:L139)</f>
        <v>378.23</v>
      </c>
    </row>
    <row r="141" spans="2:12">
      <c r="B141" s="512" t="s">
        <v>57</v>
      </c>
      <c r="C141" s="512"/>
      <c r="D141" s="512"/>
      <c r="E141" s="512"/>
      <c r="F141" s="512"/>
      <c r="G141" s="512"/>
      <c r="H141" s="512"/>
      <c r="I141" s="512"/>
      <c r="J141" s="64"/>
      <c r="K141" s="173">
        <f>K134+K140</f>
        <v>8.6499999999999994E-2</v>
      </c>
      <c r="L141" s="174">
        <f>SUM(L140,L134)</f>
        <v>749.58</v>
      </c>
    </row>
    <row r="142" spans="2:12" ht="12" hidden="1" customHeight="1">
      <c r="B142" s="532" t="s">
        <v>535</v>
      </c>
      <c r="C142" s="532"/>
      <c r="D142" s="532"/>
      <c r="E142" s="532"/>
      <c r="F142" s="532"/>
      <c r="G142" s="532"/>
      <c r="H142" s="532"/>
      <c r="I142" s="532"/>
      <c r="J142" s="532"/>
      <c r="K142" s="532"/>
      <c r="L142" s="532"/>
    </row>
    <row r="143" spans="2:12" ht="12" hidden="1" customHeight="1">
      <c r="B143" s="533" t="s">
        <v>536</v>
      </c>
      <c r="C143" s="533"/>
      <c r="D143" s="533"/>
      <c r="E143" s="533"/>
      <c r="F143" s="533"/>
      <c r="G143" s="533"/>
      <c r="H143" s="533"/>
      <c r="I143" s="533"/>
      <c r="J143" s="533"/>
      <c r="K143" s="533"/>
      <c r="L143" s="533"/>
    </row>
    <row r="145" spans="2:14" ht="15" customHeight="1">
      <c r="B145" s="499" t="s">
        <v>339</v>
      </c>
      <c r="C145" s="500"/>
      <c r="D145" s="500"/>
      <c r="E145" s="500"/>
      <c r="F145" s="500"/>
      <c r="G145" s="500"/>
      <c r="H145" s="500"/>
      <c r="I145" s="500"/>
      <c r="J145" s="500"/>
      <c r="K145" s="500"/>
      <c r="L145" s="501"/>
    </row>
    <row r="146" spans="2:14" ht="15" customHeight="1">
      <c r="B146" s="494" t="s">
        <v>233</v>
      </c>
      <c r="C146" s="505"/>
      <c r="D146" s="505"/>
      <c r="E146" s="505"/>
      <c r="F146" s="505"/>
      <c r="G146" s="505"/>
      <c r="H146" s="505"/>
      <c r="I146" s="505"/>
      <c r="J146" s="505"/>
      <c r="K146" s="495"/>
      <c r="L146" s="167" t="s">
        <v>234</v>
      </c>
    </row>
    <row r="147" spans="2:14" ht="15" customHeight="1">
      <c r="B147" s="64" t="s">
        <v>78</v>
      </c>
      <c r="C147" s="329" t="s">
        <v>235</v>
      </c>
      <c r="D147" s="492"/>
      <c r="E147" s="492"/>
      <c r="F147" s="492"/>
      <c r="G147" s="492"/>
      <c r="H147" s="492"/>
      <c r="I147" s="492"/>
      <c r="J147" s="492"/>
      <c r="K147" s="330"/>
      <c r="L147" s="137">
        <f>L34</f>
        <v>1459.55</v>
      </c>
    </row>
    <row r="148" spans="2:14" ht="15" customHeight="1">
      <c r="B148" s="64" t="s">
        <v>83</v>
      </c>
      <c r="C148" s="329" t="s">
        <v>340</v>
      </c>
      <c r="D148" s="492"/>
      <c r="E148" s="492"/>
      <c r="F148" s="492"/>
      <c r="G148" s="492"/>
      <c r="H148" s="492"/>
      <c r="I148" s="492"/>
      <c r="J148" s="492"/>
      <c r="K148" s="330"/>
      <c r="L148" s="137">
        <f>L79</f>
        <v>1750.23</v>
      </c>
    </row>
    <row r="149" spans="2:14" ht="15" customHeight="1">
      <c r="B149" s="64" t="s">
        <v>88</v>
      </c>
      <c r="C149" s="329" t="s">
        <v>341</v>
      </c>
      <c r="D149" s="492"/>
      <c r="E149" s="492"/>
      <c r="F149" s="492"/>
      <c r="G149" s="492"/>
      <c r="H149" s="492"/>
      <c r="I149" s="492"/>
      <c r="J149" s="492"/>
      <c r="K149" s="330"/>
      <c r="L149" s="137">
        <f>L90</f>
        <v>94.15</v>
      </c>
      <c r="N149" s="195"/>
    </row>
    <row r="150" spans="2:14" ht="15" customHeight="1">
      <c r="B150" s="64" t="s">
        <v>86</v>
      </c>
      <c r="C150" s="329" t="s">
        <v>328</v>
      </c>
      <c r="D150" s="492"/>
      <c r="E150" s="492"/>
      <c r="F150" s="492"/>
      <c r="G150" s="492"/>
      <c r="H150" s="492"/>
      <c r="I150" s="492"/>
      <c r="J150" s="492"/>
      <c r="K150" s="330"/>
      <c r="L150" s="137">
        <f>L118</f>
        <v>16.489999999999998</v>
      </c>
    </row>
    <row r="151" spans="2:14" ht="15" customHeight="1">
      <c r="B151" s="64" t="s">
        <v>88</v>
      </c>
      <c r="C151" s="329" t="s">
        <v>342</v>
      </c>
      <c r="D151" s="492"/>
      <c r="E151" s="492"/>
      <c r="F151" s="492"/>
      <c r="G151" s="492"/>
      <c r="H151" s="492"/>
      <c r="I151" s="492"/>
      <c r="J151" s="492"/>
      <c r="K151" s="330"/>
      <c r="L151" s="137">
        <f>L127</f>
        <v>302.52</v>
      </c>
    </row>
    <row r="152" spans="2:14" ht="15" customHeight="1">
      <c r="B152" s="499" t="s">
        <v>343</v>
      </c>
      <c r="C152" s="500"/>
      <c r="D152" s="500"/>
      <c r="E152" s="500"/>
      <c r="F152" s="500"/>
      <c r="G152" s="500"/>
      <c r="H152" s="500"/>
      <c r="I152" s="500"/>
      <c r="J152" s="500"/>
      <c r="K152" s="501"/>
      <c r="L152" s="171">
        <f>SUM(L147:L151)</f>
        <v>3622.94</v>
      </c>
    </row>
    <row r="153" spans="2:14" ht="15" customHeight="1">
      <c r="B153" s="64" t="s">
        <v>113</v>
      </c>
      <c r="C153" s="329" t="s">
        <v>344</v>
      </c>
      <c r="D153" s="492"/>
      <c r="E153" s="492"/>
      <c r="F153" s="492"/>
      <c r="G153" s="492"/>
      <c r="H153" s="492"/>
      <c r="I153" s="492"/>
      <c r="J153" s="492"/>
      <c r="K153" s="330"/>
      <c r="L153" s="137">
        <f>L141</f>
        <v>749.58</v>
      </c>
    </row>
    <row r="154" spans="2:14" ht="15" customHeight="1">
      <c r="B154" s="499" t="s">
        <v>363</v>
      </c>
      <c r="C154" s="500"/>
      <c r="D154" s="500"/>
      <c r="E154" s="500"/>
      <c r="F154" s="500"/>
      <c r="G154" s="500"/>
      <c r="H154" s="500"/>
      <c r="I154" s="500"/>
      <c r="J154" s="500"/>
      <c r="K154" s="501"/>
      <c r="L154" s="171">
        <f>SUM(L152:L153)-0.01</f>
        <v>4372.51</v>
      </c>
      <c r="M154" s="196"/>
    </row>
    <row r="155" spans="2:14" ht="15" customHeight="1">
      <c r="B155" s="499"/>
      <c r="C155" s="500"/>
      <c r="D155" s="500"/>
      <c r="E155" s="500"/>
      <c r="F155" s="500"/>
      <c r="G155" s="500"/>
      <c r="H155" s="500"/>
      <c r="I155" s="500"/>
      <c r="J155" s="500"/>
      <c r="K155" s="501"/>
      <c r="L155" s="171"/>
    </row>
    <row r="156" spans="2:14" ht="15" customHeight="1">
      <c r="B156" s="499" t="s">
        <v>355</v>
      </c>
      <c r="C156" s="500"/>
      <c r="D156" s="500"/>
      <c r="E156" s="500"/>
      <c r="F156" s="500"/>
      <c r="G156" s="500"/>
      <c r="H156" s="500"/>
      <c r="I156" s="500"/>
      <c r="J156" s="500"/>
      <c r="K156" s="500"/>
      <c r="L156" s="501"/>
    </row>
    <row r="157" spans="2:14" ht="51.75" customHeight="1">
      <c r="B157" s="534" t="s">
        <v>345</v>
      </c>
      <c r="C157" s="535"/>
      <c r="D157" s="535"/>
      <c r="E157" s="535"/>
      <c r="F157" s="536"/>
      <c r="G157" s="534" t="s">
        <v>346</v>
      </c>
      <c r="H157" s="536"/>
      <c r="I157" s="197" t="s">
        <v>379</v>
      </c>
      <c r="J157" s="197" t="s">
        <v>347</v>
      </c>
      <c r="K157" s="198" t="s">
        <v>348</v>
      </c>
      <c r="L157" s="199" t="s">
        <v>349</v>
      </c>
      <c r="M157" s="196"/>
    </row>
    <row r="158" spans="2:14" ht="18.75" customHeight="1">
      <c r="B158" s="499" t="str">
        <f>B17</f>
        <v>CONTÍNUO</v>
      </c>
      <c r="C158" s="500"/>
      <c r="D158" s="500"/>
      <c r="E158" s="500"/>
      <c r="F158" s="501"/>
      <c r="G158" s="540">
        <f>L154</f>
        <v>4372.51</v>
      </c>
      <c r="H158" s="541"/>
      <c r="I158" s="200">
        <v>1</v>
      </c>
      <c r="J158" s="184">
        <f>I158*G158</f>
        <v>4372.51</v>
      </c>
      <c r="K158" s="200">
        <f>I17</f>
        <v>1</v>
      </c>
      <c r="L158" s="184">
        <f>K158*J158</f>
        <v>4372.51</v>
      </c>
      <c r="M158" s="196"/>
    </row>
    <row r="159" spans="2:14" ht="15" customHeight="1">
      <c r="B159" s="160"/>
      <c r="C159" s="160"/>
      <c r="D159" s="160"/>
      <c r="E159" s="160"/>
      <c r="F159" s="160"/>
      <c r="G159" s="160"/>
      <c r="H159" s="160"/>
      <c r="I159" s="160"/>
      <c r="J159" s="160"/>
      <c r="K159" s="201"/>
      <c r="L159" s="202"/>
    </row>
    <row r="160" spans="2:14" ht="15" customHeight="1">
      <c r="B160" s="499" t="s">
        <v>354</v>
      </c>
      <c r="C160" s="500"/>
      <c r="D160" s="500"/>
      <c r="E160" s="500"/>
      <c r="F160" s="500"/>
      <c r="G160" s="500"/>
      <c r="H160" s="500"/>
      <c r="I160" s="500"/>
      <c r="J160" s="500"/>
      <c r="K160" s="500"/>
      <c r="L160" s="501"/>
    </row>
    <row r="161" spans="2:14">
      <c r="B161" s="197"/>
      <c r="C161" s="534" t="s">
        <v>350</v>
      </c>
      <c r="D161" s="535"/>
      <c r="E161" s="535"/>
      <c r="F161" s="535"/>
      <c r="G161" s="535"/>
      <c r="H161" s="535"/>
      <c r="I161" s="535"/>
      <c r="J161" s="535"/>
      <c r="K161" s="536"/>
      <c r="L161" s="199" t="s">
        <v>251</v>
      </c>
    </row>
    <row r="162" spans="2:14">
      <c r="B162" s="64" t="s">
        <v>78</v>
      </c>
      <c r="C162" s="537" t="s">
        <v>351</v>
      </c>
      <c r="D162" s="538"/>
      <c r="E162" s="538"/>
      <c r="F162" s="538"/>
      <c r="G162" s="538"/>
      <c r="H162" s="538"/>
      <c r="I162" s="538"/>
      <c r="J162" s="538"/>
      <c r="K162" s="539"/>
      <c r="L162" s="203">
        <f>J158</f>
        <v>4372.51</v>
      </c>
      <c r="N162" s="195"/>
    </row>
    <row r="163" spans="2:14" ht="15" customHeight="1">
      <c r="B163" s="64" t="s">
        <v>83</v>
      </c>
      <c r="C163" s="537" t="s">
        <v>352</v>
      </c>
      <c r="D163" s="538"/>
      <c r="E163" s="538"/>
      <c r="F163" s="538"/>
      <c r="G163" s="538"/>
      <c r="H163" s="538"/>
      <c r="I163" s="538"/>
      <c r="J163" s="538"/>
      <c r="K163" s="539"/>
      <c r="L163" s="184">
        <f>L162*K158</f>
        <v>4372.51</v>
      </c>
      <c r="M163" s="195"/>
      <c r="N163" s="195"/>
    </row>
    <row r="164" spans="2:14" ht="19.5" customHeight="1">
      <c r="B164" s="197" t="s">
        <v>86</v>
      </c>
      <c r="C164" s="509" t="s">
        <v>353</v>
      </c>
      <c r="D164" s="510"/>
      <c r="E164" s="510"/>
      <c r="F164" s="510"/>
      <c r="G164" s="510"/>
      <c r="H164" s="510"/>
      <c r="I164" s="510"/>
      <c r="J164" s="510"/>
      <c r="K164" s="511"/>
      <c r="L164" s="203">
        <f>L163*K12</f>
        <v>52470.12</v>
      </c>
      <c r="N164" s="196"/>
    </row>
    <row r="165" spans="2:14" ht="15" customHeight="1">
      <c r="B165" s="160"/>
      <c r="C165" s="160"/>
      <c r="D165" s="160"/>
      <c r="E165" s="160"/>
      <c r="F165" s="160"/>
      <c r="G165" s="160"/>
      <c r="H165" s="160"/>
      <c r="I165" s="160"/>
      <c r="J165" s="160"/>
      <c r="K165" s="201"/>
      <c r="L165" s="202"/>
      <c r="N165" s="196"/>
    </row>
    <row r="166" spans="2:14" ht="15" customHeight="1">
      <c r="N166" s="196"/>
    </row>
    <row r="167" spans="2:14" ht="15" customHeight="1">
      <c r="N167" s="196"/>
    </row>
    <row r="168" spans="2:14" ht="15" customHeight="1">
      <c r="L168" s="260"/>
      <c r="N168" s="196"/>
    </row>
    <row r="169" spans="2:14" ht="15" customHeight="1">
      <c r="L169" s="262"/>
      <c r="N169" s="196"/>
    </row>
    <row r="170" spans="2:14" ht="15" customHeight="1">
      <c r="L170" s="264"/>
      <c r="N170" s="196"/>
    </row>
    <row r="171" spans="2:14" ht="15" customHeight="1">
      <c r="L171" s="265"/>
    </row>
    <row r="173" spans="2:14" ht="15" customHeight="1">
      <c r="N173" s="195"/>
    </row>
  </sheetData>
  <mergeCells count="156">
    <mergeCell ref="C164:K164"/>
    <mergeCell ref="B158:F158"/>
    <mergeCell ref="G158:H158"/>
    <mergeCell ref="B160:L160"/>
    <mergeCell ref="C161:K161"/>
    <mergeCell ref="C162:K162"/>
    <mergeCell ref="C163:K163"/>
    <mergeCell ref="C153:K153"/>
    <mergeCell ref="B154:K154"/>
    <mergeCell ref="B155:K155"/>
    <mergeCell ref="B156:L156"/>
    <mergeCell ref="B157:F157"/>
    <mergeCell ref="G157:H157"/>
    <mergeCell ref="C147:K147"/>
    <mergeCell ref="C148:K148"/>
    <mergeCell ref="C149:K149"/>
    <mergeCell ref="C150:K150"/>
    <mergeCell ref="C151:K151"/>
    <mergeCell ref="B152:K152"/>
    <mergeCell ref="B140:I140"/>
    <mergeCell ref="B141:I141"/>
    <mergeCell ref="B142:L142"/>
    <mergeCell ref="B143:L143"/>
    <mergeCell ref="B145:L145"/>
    <mergeCell ref="B146:K146"/>
    <mergeCell ref="C131:J131"/>
    <mergeCell ref="C132:J132"/>
    <mergeCell ref="C133:J133"/>
    <mergeCell ref="B134:J134"/>
    <mergeCell ref="B135:B139"/>
    <mergeCell ref="C135:L135"/>
    <mergeCell ref="C136:I137"/>
    <mergeCell ref="C138:I138"/>
    <mergeCell ref="C139:I139"/>
    <mergeCell ref="C124:K124"/>
    <mergeCell ref="C125:K125"/>
    <mergeCell ref="C126:K126"/>
    <mergeCell ref="B127:K127"/>
    <mergeCell ref="B128:L128"/>
    <mergeCell ref="B130:L130"/>
    <mergeCell ref="C117:K117"/>
    <mergeCell ref="B118:K118"/>
    <mergeCell ref="B119:L119"/>
    <mergeCell ref="B121:L121"/>
    <mergeCell ref="C122:K122"/>
    <mergeCell ref="C123:K123"/>
    <mergeCell ref="G110:L110"/>
    <mergeCell ref="G111:L111"/>
    <mergeCell ref="B113:L113"/>
    <mergeCell ref="B114:L114"/>
    <mergeCell ref="C115:K115"/>
    <mergeCell ref="C116:K116"/>
    <mergeCell ref="B102:J102"/>
    <mergeCell ref="B103:L103"/>
    <mergeCell ref="B105:L105"/>
    <mergeCell ref="C106:K106"/>
    <mergeCell ref="C107:K107"/>
    <mergeCell ref="B108:K108"/>
    <mergeCell ref="C96:J96"/>
    <mergeCell ref="C97:J97"/>
    <mergeCell ref="C98:J98"/>
    <mergeCell ref="C99:J99"/>
    <mergeCell ref="C100:J100"/>
    <mergeCell ref="C101:J101"/>
    <mergeCell ref="C89:J89"/>
    <mergeCell ref="B90:J90"/>
    <mergeCell ref="B91:L91"/>
    <mergeCell ref="B93:L93"/>
    <mergeCell ref="B94:L94"/>
    <mergeCell ref="C95:J95"/>
    <mergeCell ref="C83:J83"/>
    <mergeCell ref="C84:J84"/>
    <mergeCell ref="C85:J85"/>
    <mergeCell ref="C86:J86"/>
    <mergeCell ref="C87:J87"/>
    <mergeCell ref="C88:J88"/>
    <mergeCell ref="C76:K76"/>
    <mergeCell ref="C77:K77"/>
    <mergeCell ref="C78:K78"/>
    <mergeCell ref="B79:K79"/>
    <mergeCell ref="B81:L81"/>
    <mergeCell ref="B82:L82"/>
    <mergeCell ref="B69:K69"/>
    <mergeCell ref="B70:L70"/>
    <mergeCell ref="B71:L71"/>
    <mergeCell ref="B73:L73"/>
    <mergeCell ref="B74:L74"/>
    <mergeCell ref="C75:K75"/>
    <mergeCell ref="B61:L61"/>
    <mergeCell ref="C62:K62"/>
    <mergeCell ref="C63:K63"/>
    <mergeCell ref="C64:K64"/>
    <mergeCell ref="C65:K65"/>
    <mergeCell ref="C67:K67"/>
    <mergeCell ref="C54:J54"/>
    <mergeCell ref="C55:J55"/>
    <mergeCell ref="B56:J56"/>
    <mergeCell ref="B57:L57"/>
    <mergeCell ref="B58:L58"/>
    <mergeCell ref="B59:L59"/>
    <mergeCell ref="C48:J48"/>
    <mergeCell ref="C49:J49"/>
    <mergeCell ref="C50:J50"/>
    <mergeCell ref="C51:J51"/>
    <mergeCell ref="C52:J52"/>
    <mergeCell ref="C53:J53"/>
    <mergeCell ref="B41:J41"/>
    <mergeCell ref="B42:L42"/>
    <mergeCell ref="B43:L43"/>
    <mergeCell ref="B44:L44"/>
    <mergeCell ref="B46:L46"/>
    <mergeCell ref="C47:J47"/>
    <mergeCell ref="B34:I34"/>
    <mergeCell ref="B35:L35"/>
    <mergeCell ref="B37:L37"/>
    <mergeCell ref="C38:J38"/>
    <mergeCell ref="C39:J39"/>
    <mergeCell ref="C40:J40"/>
    <mergeCell ref="C28:J28"/>
    <mergeCell ref="C29:J29"/>
    <mergeCell ref="C30:J30"/>
    <mergeCell ref="C31:J31"/>
    <mergeCell ref="C32:J32"/>
    <mergeCell ref="C33:J33"/>
    <mergeCell ref="C23:J23"/>
    <mergeCell ref="K23:L23"/>
    <mergeCell ref="C24:J24"/>
    <mergeCell ref="K24:L24"/>
    <mergeCell ref="B26:L26"/>
    <mergeCell ref="C27:K27"/>
    <mergeCell ref="B19:L19"/>
    <mergeCell ref="B20:L20"/>
    <mergeCell ref="C21:J21"/>
    <mergeCell ref="K21:L21"/>
    <mergeCell ref="C22:J22"/>
    <mergeCell ref="K22:L22"/>
    <mergeCell ref="B14:L14"/>
    <mergeCell ref="B15:L15"/>
    <mergeCell ref="B16:E16"/>
    <mergeCell ref="F16:H16"/>
    <mergeCell ref="I16:L16"/>
    <mergeCell ref="B17:E17"/>
    <mergeCell ref="F17:H17"/>
    <mergeCell ref="I17:L17"/>
    <mergeCell ref="C10:J10"/>
    <mergeCell ref="K10:L10"/>
    <mergeCell ref="C11:J11"/>
    <mergeCell ref="K11:L11"/>
    <mergeCell ref="C12:J12"/>
    <mergeCell ref="K12:L12"/>
    <mergeCell ref="A1:L1"/>
    <mergeCell ref="B4:I4"/>
    <mergeCell ref="B6:L6"/>
    <mergeCell ref="B8:L8"/>
    <mergeCell ref="C9:J9"/>
    <mergeCell ref="K9:L9"/>
  </mergeCells>
  <pageMargins left="0.15748031496062992" right="0.19685039370078741" top="0.94488188976377963" bottom="0.31496062992125984" header="0.19685039370078741" footer="0.15748031496062992"/>
  <pageSetup paperSize="9" scale="65" fitToHeight="0" orientation="portrait" r:id="rId1"/>
  <headerFooter>
    <oddHeader>&amp;L&amp;G</oddHeader>
  </headerFooter>
  <rowBreaks count="2" manualBreakCount="2">
    <brk id="79" max="16383" man="1"/>
    <brk id="164" max="11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5"/>
  <sheetViews>
    <sheetView topLeftCell="A33" zoomScaleNormal="100" zoomScaleSheetLayoutView="100" workbookViewId="0">
      <selection activeCell="L44" sqref="L44"/>
    </sheetView>
  </sheetViews>
  <sheetFormatPr defaultColWidth="8.85546875" defaultRowHeight="15"/>
  <cols>
    <col min="1" max="1" width="20.42578125" style="182" customWidth="1"/>
    <col min="2" max="2" width="8.85546875" style="182"/>
    <col min="3" max="3" width="26.28515625" style="182" bestFit="1" customWidth="1"/>
    <col min="4" max="4" width="14.85546875" style="182" bestFit="1" customWidth="1"/>
    <col min="5" max="5" width="14.140625" style="182" bestFit="1" customWidth="1"/>
    <col min="6" max="6" width="14.140625" style="182" customWidth="1"/>
    <col min="7" max="7" width="14.28515625" style="182" bestFit="1" customWidth="1"/>
    <col min="8" max="8" width="8.85546875" style="182"/>
    <col min="9" max="9" width="20.7109375" style="182" customWidth="1"/>
    <col min="10" max="10" width="14.85546875" style="182" customWidth="1"/>
    <col min="11" max="11" width="14.140625" style="182" bestFit="1" customWidth="1"/>
    <col min="12" max="12" width="14.28515625" style="182" customWidth="1"/>
    <col min="13" max="16384" width="8.85546875" style="182"/>
  </cols>
  <sheetData>
    <row r="1" spans="1:12" ht="36" customHeight="1"/>
    <row r="4" spans="1:12" ht="33" customHeight="1">
      <c r="A4" s="542" t="s">
        <v>388</v>
      </c>
      <c r="B4" s="543"/>
      <c r="C4" s="543"/>
      <c r="D4" s="543"/>
      <c r="E4" s="543"/>
      <c r="F4" s="543"/>
      <c r="G4" s="543"/>
      <c r="I4" s="542" t="s">
        <v>388</v>
      </c>
      <c r="J4" s="543"/>
      <c r="K4" s="543"/>
      <c r="L4" s="543"/>
    </row>
    <row r="5" spans="1:12">
      <c r="A5" s="193" t="s">
        <v>389</v>
      </c>
      <c r="B5" s="193" t="s">
        <v>390</v>
      </c>
      <c r="C5" s="193" t="s">
        <v>391</v>
      </c>
      <c r="D5" s="193" t="s">
        <v>392</v>
      </c>
      <c r="E5" s="193" t="s">
        <v>393</v>
      </c>
      <c r="F5" s="193" t="s">
        <v>471</v>
      </c>
      <c r="G5" s="193" t="s">
        <v>394</v>
      </c>
      <c r="I5" s="193" t="s">
        <v>389</v>
      </c>
      <c r="J5" s="193" t="s">
        <v>390</v>
      </c>
      <c r="K5" s="193" t="s">
        <v>393</v>
      </c>
      <c r="L5" s="193" t="s">
        <v>394</v>
      </c>
    </row>
    <row r="6" spans="1:12" ht="15.75">
      <c r="A6" s="204" t="s">
        <v>395</v>
      </c>
      <c r="B6" s="204" t="s">
        <v>396</v>
      </c>
      <c r="C6" s="204">
        <v>120</v>
      </c>
      <c r="D6" s="205">
        <v>1080</v>
      </c>
      <c r="E6" s="206">
        <v>2.93</v>
      </c>
      <c r="F6" s="206">
        <f>E6*C6</f>
        <v>351.6</v>
      </c>
      <c r="G6" s="206">
        <f>E6*D6</f>
        <v>3164.4</v>
      </c>
      <c r="I6" s="204" t="s">
        <v>437</v>
      </c>
      <c r="J6" s="205">
        <v>2</v>
      </c>
      <c r="K6" s="207">
        <v>300</v>
      </c>
      <c r="L6" s="208">
        <f>K6*J6</f>
        <v>600</v>
      </c>
    </row>
    <row r="7" spans="1:12" ht="31.5">
      <c r="A7" s="204" t="s">
        <v>397</v>
      </c>
      <c r="B7" s="204" t="s">
        <v>396</v>
      </c>
      <c r="C7" s="204">
        <v>70</v>
      </c>
      <c r="D7" s="205">
        <v>720</v>
      </c>
      <c r="E7" s="206">
        <v>9</v>
      </c>
      <c r="F7" s="206">
        <f t="shared" ref="F7:F42" si="0">E7*C7</f>
        <v>630</v>
      </c>
      <c r="G7" s="206">
        <f t="shared" ref="G7:G42" si="1">E7*D7</f>
        <v>6480</v>
      </c>
      <c r="I7" s="204" t="s">
        <v>438</v>
      </c>
      <c r="J7" s="205">
        <v>3</v>
      </c>
      <c r="K7" s="207">
        <v>2500</v>
      </c>
      <c r="L7" s="208">
        <f t="shared" ref="L7:L16" si="2">K7*J7</f>
        <v>7500</v>
      </c>
    </row>
    <row r="8" spans="1:12" ht="15.75">
      <c r="A8" s="204" t="s">
        <v>398</v>
      </c>
      <c r="B8" s="204" t="s">
        <v>399</v>
      </c>
      <c r="C8" s="204">
        <v>20</v>
      </c>
      <c r="D8" s="205">
        <v>180</v>
      </c>
      <c r="E8" s="207">
        <v>15</v>
      </c>
      <c r="F8" s="206">
        <f t="shared" si="0"/>
        <v>300</v>
      </c>
      <c r="G8" s="206">
        <f t="shared" si="1"/>
        <v>2700</v>
      </c>
      <c r="I8" s="204" t="s">
        <v>439</v>
      </c>
      <c r="J8" s="205">
        <v>5</v>
      </c>
      <c r="K8" s="207">
        <v>599</v>
      </c>
      <c r="L8" s="208">
        <f t="shared" si="2"/>
        <v>2995</v>
      </c>
    </row>
    <row r="9" spans="1:12" ht="15.75">
      <c r="A9" s="204" t="s">
        <v>400</v>
      </c>
      <c r="B9" s="204" t="s">
        <v>399</v>
      </c>
      <c r="C9" s="204">
        <v>30</v>
      </c>
      <c r="D9" s="205">
        <v>120</v>
      </c>
      <c r="E9" s="207">
        <v>13.51</v>
      </c>
      <c r="F9" s="206">
        <f t="shared" si="0"/>
        <v>405.3</v>
      </c>
      <c r="G9" s="206">
        <f t="shared" si="1"/>
        <v>1621.2</v>
      </c>
      <c r="I9" s="204" t="s">
        <v>440</v>
      </c>
      <c r="J9" s="205">
        <v>10</v>
      </c>
      <c r="K9" s="207">
        <v>70.5</v>
      </c>
      <c r="L9" s="208">
        <f t="shared" si="2"/>
        <v>705</v>
      </c>
    </row>
    <row r="10" spans="1:12" ht="15.75">
      <c r="A10" s="204" t="s">
        <v>401</v>
      </c>
      <c r="B10" s="204" t="s">
        <v>396</v>
      </c>
      <c r="C10" s="204">
        <v>250</v>
      </c>
      <c r="D10" s="209">
        <v>2916</v>
      </c>
      <c r="E10" s="207">
        <v>23.89</v>
      </c>
      <c r="F10" s="206">
        <f t="shared" si="0"/>
        <v>5972.5</v>
      </c>
      <c r="G10" s="206">
        <f t="shared" si="1"/>
        <v>69663.240000000005</v>
      </c>
      <c r="I10" s="204" t="s">
        <v>423</v>
      </c>
      <c r="J10" s="205">
        <v>10</v>
      </c>
      <c r="K10" s="207">
        <v>65</v>
      </c>
      <c r="L10" s="208">
        <f t="shared" si="2"/>
        <v>650</v>
      </c>
    </row>
    <row r="11" spans="1:12" ht="31.5">
      <c r="A11" s="204" t="s">
        <v>402</v>
      </c>
      <c r="B11" s="204" t="s">
        <v>396</v>
      </c>
      <c r="C11" s="204">
        <v>250</v>
      </c>
      <c r="D11" s="209">
        <v>2400</v>
      </c>
      <c r="E11" s="207">
        <v>7.57</v>
      </c>
      <c r="F11" s="206">
        <f t="shared" si="0"/>
        <v>1892.5</v>
      </c>
      <c r="G11" s="206">
        <f t="shared" si="1"/>
        <v>18168</v>
      </c>
      <c r="I11" s="204" t="s">
        <v>441</v>
      </c>
      <c r="J11" s="205">
        <v>1</v>
      </c>
      <c r="K11" s="207">
        <v>980</v>
      </c>
      <c r="L11" s="208">
        <f t="shared" si="2"/>
        <v>980</v>
      </c>
    </row>
    <row r="12" spans="1:12" ht="31.5">
      <c r="A12" s="204" t="s">
        <v>403</v>
      </c>
      <c r="B12" s="204" t="s">
        <v>396</v>
      </c>
      <c r="C12" s="204">
        <v>150</v>
      </c>
      <c r="D12" s="209">
        <v>1440</v>
      </c>
      <c r="E12" s="207">
        <v>8.93</v>
      </c>
      <c r="F12" s="206">
        <f t="shared" si="0"/>
        <v>1339.5</v>
      </c>
      <c r="G12" s="206">
        <f t="shared" si="1"/>
        <v>12859.2</v>
      </c>
      <c r="I12" s="204" t="s">
        <v>442</v>
      </c>
      <c r="J12" s="205">
        <v>5</v>
      </c>
      <c r="K12" s="207">
        <v>18</v>
      </c>
      <c r="L12" s="208">
        <f t="shared" si="2"/>
        <v>90</v>
      </c>
    </row>
    <row r="13" spans="1:12" ht="15.75">
      <c r="A13" s="204" t="s">
        <v>404</v>
      </c>
      <c r="B13" s="204" t="s">
        <v>399</v>
      </c>
      <c r="C13" s="204">
        <v>80</v>
      </c>
      <c r="D13" s="205">
        <v>840</v>
      </c>
      <c r="E13" s="207">
        <v>0.75</v>
      </c>
      <c r="F13" s="206">
        <f t="shared" si="0"/>
        <v>60</v>
      </c>
      <c r="G13" s="206">
        <f t="shared" si="1"/>
        <v>630</v>
      </c>
      <c r="I13" s="204" t="s">
        <v>443</v>
      </c>
      <c r="J13" s="205">
        <v>1</v>
      </c>
      <c r="K13" s="207">
        <v>52</v>
      </c>
      <c r="L13" s="208">
        <f t="shared" si="2"/>
        <v>52</v>
      </c>
    </row>
    <row r="14" spans="1:12" ht="15.75">
      <c r="A14" s="204" t="s">
        <v>405</v>
      </c>
      <c r="B14" s="204" t="s">
        <v>399</v>
      </c>
      <c r="C14" s="204">
        <v>160</v>
      </c>
      <c r="D14" s="205">
        <v>1848</v>
      </c>
      <c r="E14" s="207">
        <v>1.9</v>
      </c>
      <c r="F14" s="206">
        <f t="shared" si="0"/>
        <v>304</v>
      </c>
      <c r="G14" s="206">
        <f t="shared" si="1"/>
        <v>3511.2</v>
      </c>
      <c r="I14" s="204" t="s">
        <v>444</v>
      </c>
      <c r="J14" s="205">
        <v>1</v>
      </c>
      <c r="K14" s="207">
        <v>256</v>
      </c>
      <c r="L14" s="208">
        <f t="shared" si="2"/>
        <v>256</v>
      </c>
    </row>
    <row r="15" spans="1:12" ht="47.25">
      <c r="A15" s="204" t="s">
        <v>406</v>
      </c>
      <c r="B15" s="204" t="s">
        <v>399</v>
      </c>
      <c r="C15" s="204">
        <v>20</v>
      </c>
      <c r="D15" s="205">
        <v>60</v>
      </c>
      <c r="E15" s="207">
        <v>60</v>
      </c>
      <c r="F15" s="206">
        <f t="shared" si="0"/>
        <v>1200</v>
      </c>
      <c r="G15" s="206">
        <f t="shared" si="1"/>
        <v>3600</v>
      </c>
      <c r="I15" s="204" t="s">
        <v>445</v>
      </c>
      <c r="J15" s="205">
        <v>2</v>
      </c>
      <c r="K15" s="207">
        <v>68</v>
      </c>
      <c r="L15" s="208">
        <f t="shared" si="2"/>
        <v>136</v>
      </c>
    </row>
    <row r="16" spans="1:12" ht="32.25" thickBot="1">
      <c r="A16" s="204" t="s">
        <v>407</v>
      </c>
      <c r="B16" s="204" t="s">
        <v>399</v>
      </c>
      <c r="C16" s="204">
        <v>30</v>
      </c>
      <c r="D16" s="205">
        <v>240</v>
      </c>
      <c r="E16" s="207">
        <v>2.95</v>
      </c>
      <c r="F16" s="206">
        <f t="shared" si="0"/>
        <v>88.5</v>
      </c>
      <c r="G16" s="206">
        <f t="shared" si="1"/>
        <v>708</v>
      </c>
      <c r="I16" s="204" t="s">
        <v>446</v>
      </c>
      <c r="J16" s="205">
        <v>50</v>
      </c>
      <c r="K16" s="207">
        <v>35</v>
      </c>
      <c r="L16" s="208">
        <f t="shared" si="2"/>
        <v>1750</v>
      </c>
    </row>
    <row r="17" spans="1:14" ht="16.5" thickBot="1">
      <c r="A17" s="204" t="s">
        <v>408</v>
      </c>
      <c r="B17" s="204" t="s">
        <v>396</v>
      </c>
      <c r="C17" s="204">
        <v>50</v>
      </c>
      <c r="D17" s="205">
        <v>480</v>
      </c>
      <c r="E17" s="207">
        <v>5.26</v>
      </c>
      <c r="F17" s="206">
        <f t="shared" si="0"/>
        <v>263</v>
      </c>
      <c r="G17" s="206">
        <f t="shared" si="1"/>
        <v>2524.8000000000002</v>
      </c>
      <c r="I17" s="544" t="s">
        <v>462</v>
      </c>
      <c r="J17" s="545"/>
      <c r="K17" s="545"/>
      <c r="L17" s="210">
        <f>SUM(K6:K16)</f>
        <v>4943.5</v>
      </c>
    </row>
    <row r="18" spans="1:14" ht="31.5" customHeight="1" thickBot="1">
      <c r="A18" s="204" t="s">
        <v>409</v>
      </c>
      <c r="B18" s="204" t="s">
        <v>399</v>
      </c>
      <c r="C18" s="204">
        <v>40</v>
      </c>
      <c r="D18" s="205">
        <v>360</v>
      </c>
      <c r="E18" s="207">
        <v>4.3</v>
      </c>
      <c r="F18" s="206">
        <f t="shared" si="0"/>
        <v>172</v>
      </c>
      <c r="G18" s="206">
        <f t="shared" si="1"/>
        <v>1548</v>
      </c>
      <c r="I18" s="544" t="s">
        <v>463</v>
      </c>
      <c r="J18" s="545"/>
      <c r="K18" s="545"/>
      <c r="L18" s="211">
        <f>E44</f>
        <v>28</v>
      </c>
      <c r="N18" s="212"/>
    </row>
    <row r="19" spans="1:14" ht="31.5" customHeight="1" thickBot="1">
      <c r="A19" s="204" t="s">
        <v>410</v>
      </c>
      <c r="B19" s="204" t="s">
        <v>399</v>
      </c>
      <c r="C19" s="204">
        <v>40</v>
      </c>
      <c r="D19" s="205">
        <v>360</v>
      </c>
      <c r="E19" s="207">
        <v>3.45</v>
      </c>
      <c r="F19" s="206">
        <f t="shared" si="0"/>
        <v>138</v>
      </c>
      <c r="G19" s="206">
        <f t="shared" si="1"/>
        <v>1242</v>
      </c>
      <c r="I19" s="544" t="s">
        <v>464</v>
      </c>
      <c r="J19" s="545"/>
      <c r="K19" s="545"/>
      <c r="L19" s="213">
        <f>L17/L18</f>
        <v>176.55</v>
      </c>
      <c r="N19" s="214"/>
    </row>
    <row r="20" spans="1:14" ht="15.75">
      <c r="A20" s="204" t="s">
        <v>411</v>
      </c>
      <c r="B20" s="204" t="s">
        <v>396</v>
      </c>
      <c r="C20" s="204">
        <v>90</v>
      </c>
      <c r="D20" s="205">
        <v>960</v>
      </c>
      <c r="E20" s="207">
        <v>4.9400000000000004</v>
      </c>
      <c r="F20" s="206">
        <f t="shared" si="0"/>
        <v>444.6</v>
      </c>
      <c r="G20" s="206">
        <f t="shared" si="1"/>
        <v>4742.3999999999996</v>
      </c>
    </row>
    <row r="21" spans="1:14" ht="31.5">
      <c r="A21" s="204" t="s">
        <v>412</v>
      </c>
      <c r="B21" s="204" t="s">
        <v>413</v>
      </c>
      <c r="C21" s="204">
        <v>3</v>
      </c>
      <c r="D21" s="205">
        <v>24</v>
      </c>
      <c r="E21" s="207">
        <v>24.9</v>
      </c>
      <c r="F21" s="206">
        <f t="shared" si="0"/>
        <v>74.7</v>
      </c>
      <c r="G21" s="206">
        <f t="shared" si="1"/>
        <v>597.6</v>
      </c>
    </row>
    <row r="22" spans="1:14" ht="15.75">
      <c r="A22" s="204" t="s">
        <v>414</v>
      </c>
      <c r="B22" s="204" t="s">
        <v>396</v>
      </c>
      <c r="C22" s="204">
        <v>120</v>
      </c>
      <c r="D22" s="209">
        <v>1200</v>
      </c>
      <c r="E22" s="207">
        <v>4.38</v>
      </c>
      <c r="F22" s="206">
        <f t="shared" si="0"/>
        <v>525.6</v>
      </c>
      <c r="G22" s="206">
        <f t="shared" si="1"/>
        <v>5256</v>
      </c>
    </row>
    <row r="23" spans="1:14" ht="15.75">
      <c r="A23" s="204" t="s">
        <v>415</v>
      </c>
      <c r="B23" s="204" t="s">
        <v>399</v>
      </c>
      <c r="C23" s="204">
        <v>50</v>
      </c>
      <c r="D23" s="205">
        <v>360</v>
      </c>
      <c r="E23" s="207">
        <v>16</v>
      </c>
      <c r="F23" s="206">
        <f t="shared" si="0"/>
        <v>800</v>
      </c>
      <c r="G23" s="206">
        <f t="shared" si="1"/>
        <v>5760</v>
      </c>
    </row>
    <row r="24" spans="1:14" ht="15.75">
      <c r="A24" s="204" t="s">
        <v>416</v>
      </c>
      <c r="B24" s="204" t="s">
        <v>399</v>
      </c>
      <c r="C24" s="204">
        <v>20</v>
      </c>
      <c r="D24" s="205">
        <v>240</v>
      </c>
      <c r="E24" s="207"/>
      <c r="F24" s="206">
        <f t="shared" si="0"/>
        <v>0</v>
      </c>
      <c r="G24" s="206">
        <f t="shared" si="1"/>
        <v>0</v>
      </c>
    </row>
    <row r="25" spans="1:14" ht="15.75">
      <c r="A25" s="204" t="s">
        <v>417</v>
      </c>
      <c r="B25" s="204" t="s">
        <v>399</v>
      </c>
      <c r="C25" s="204">
        <v>100</v>
      </c>
      <c r="D25" s="205">
        <v>1200</v>
      </c>
      <c r="E25" s="207">
        <v>2.62</v>
      </c>
      <c r="F25" s="206">
        <f t="shared" si="0"/>
        <v>262</v>
      </c>
      <c r="G25" s="206">
        <f t="shared" si="1"/>
        <v>3144</v>
      </c>
    </row>
    <row r="26" spans="1:14" ht="31.5">
      <c r="A26" s="204" t="s">
        <v>418</v>
      </c>
      <c r="B26" s="204" t="s">
        <v>419</v>
      </c>
      <c r="C26" s="204">
        <v>55</v>
      </c>
      <c r="D26" s="205">
        <v>660</v>
      </c>
      <c r="E26" s="207">
        <v>69.900000000000006</v>
      </c>
      <c r="F26" s="206">
        <f t="shared" si="0"/>
        <v>3844.5</v>
      </c>
      <c r="G26" s="206">
        <f t="shared" si="1"/>
        <v>46134</v>
      </c>
    </row>
    <row r="27" spans="1:14" ht="31.5">
      <c r="A27" s="204" t="s">
        <v>420</v>
      </c>
      <c r="B27" s="204" t="s">
        <v>399</v>
      </c>
      <c r="C27" s="204">
        <v>690</v>
      </c>
      <c r="D27" s="205">
        <v>8280</v>
      </c>
      <c r="E27" s="207">
        <v>3.2</v>
      </c>
      <c r="F27" s="206">
        <f t="shared" si="0"/>
        <v>2208</v>
      </c>
      <c r="G27" s="206">
        <f t="shared" si="1"/>
        <v>26496</v>
      </c>
    </row>
    <row r="28" spans="1:14" ht="15.75">
      <c r="A28" s="204" t="s">
        <v>421</v>
      </c>
      <c r="B28" s="204" t="s">
        <v>419</v>
      </c>
      <c r="C28" s="204">
        <v>320</v>
      </c>
      <c r="D28" s="205">
        <v>3840</v>
      </c>
      <c r="E28" s="207">
        <v>25.5</v>
      </c>
      <c r="F28" s="206">
        <f t="shared" si="0"/>
        <v>8160</v>
      </c>
      <c r="G28" s="206">
        <f t="shared" si="1"/>
        <v>97920</v>
      </c>
    </row>
    <row r="29" spans="1:14" ht="15.75">
      <c r="A29" s="204" t="s">
        <v>422</v>
      </c>
      <c r="B29" s="204" t="s">
        <v>399</v>
      </c>
      <c r="C29" s="204">
        <v>230</v>
      </c>
      <c r="D29" s="205">
        <v>2760</v>
      </c>
      <c r="E29" s="207">
        <v>1.3</v>
      </c>
      <c r="F29" s="206">
        <f t="shared" si="0"/>
        <v>299</v>
      </c>
      <c r="G29" s="206">
        <f t="shared" si="1"/>
        <v>3588</v>
      </c>
    </row>
    <row r="30" spans="1:14" ht="15.75">
      <c r="A30" s="204" t="s">
        <v>423</v>
      </c>
      <c r="B30" s="204" t="s">
        <v>399</v>
      </c>
      <c r="C30" s="204">
        <v>5</v>
      </c>
      <c r="D30" s="205">
        <v>60</v>
      </c>
      <c r="E30" s="207">
        <v>65</v>
      </c>
      <c r="F30" s="206">
        <f t="shared" si="0"/>
        <v>325</v>
      </c>
      <c r="G30" s="206">
        <f t="shared" si="1"/>
        <v>3900</v>
      </c>
    </row>
    <row r="31" spans="1:14" ht="31.5">
      <c r="A31" s="204" t="s">
        <v>424</v>
      </c>
      <c r="B31" s="204" t="s">
        <v>396</v>
      </c>
      <c r="C31" s="204">
        <v>50</v>
      </c>
      <c r="D31" s="205">
        <v>600</v>
      </c>
      <c r="E31" s="207">
        <v>11.47</v>
      </c>
      <c r="F31" s="206">
        <f t="shared" si="0"/>
        <v>573.5</v>
      </c>
      <c r="G31" s="206">
        <f t="shared" si="1"/>
        <v>6882</v>
      </c>
    </row>
    <row r="32" spans="1:14" ht="31.5">
      <c r="A32" s="204" t="s">
        <v>425</v>
      </c>
      <c r="B32" s="204" t="s">
        <v>399</v>
      </c>
      <c r="C32" s="204">
        <v>30</v>
      </c>
      <c r="D32" s="205">
        <v>360</v>
      </c>
      <c r="E32" s="207">
        <v>18.5</v>
      </c>
      <c r="F32" s="206">
        <f t="shared" si="0"/>
        <v>555</v>
      </c>
      <c r="G32" s="206">
        <f t="shared" si="1"/>
        <v>6660</v>
      </c>
    </row>
    <row r="33" spans="1:7" ht="31.5">
      <c r="A33" s="204" t="s">
        <v>426</v>
      </c>
      <c r="B33" s="204" t="s">
        <v>399</v>
      </c>
      <c r="C33" s="204">
        <v>30</v>
      </c>
      <c r="D33" s="205">
        <v>360</v>
      </c>
      <c r="E33" s="207">
        <v>27.96</v>
      </c>
      <c r="F33" s="206">
        <f t="shared" si="0"/>
        <v>838.8</v>
      </c>
      <c r="G33" s="206">
        <f t="shared" si="1"/>
        <v>10065.6</v>
      </c>
    </row>
    <row r="34" spans="1:7" ht="15.75">
      <c r="A34" s="204" t="s">
        <v>427</v>
      </c>
      <c r="B34" s="204" t="s">
        <v>413</v>
      </c>
      <c r="C34" s="204">
        <v>24</v>
      </c>
      <c r="D34" s="205">
        <v>288</v>
      </c>
      <c r="E34" s="207">
        <v>2.29</v>
      </c>
      <c r="F34" s="206">
        <f t="shared" si="0"/>
        <v>54.96</v>
      </c>
      <c r="G34" s="206">
        <f t="shared" si="1"/>
        <v>659.52</v>
      </c>
    </row>
    <row r="35" spans="1:7" ht="15.75">
      <c r="A35" s="204" t="s">
        <v>428</v>
      </c>
      <c r="B35" s="204" t="s">
        <v>396</v>
      </c>
      <c r="C35" s="204">
        <v>150</v>
      </c>
      <c r="D35" s="205">
        <v>1800</v>
      </c>
      <c r="E35" s="207">
        <v>3.74</v>
      </c>
      <c r="F35" s="206">
        <f t="shared" si="0"/>
        <v>561</v>
      </c>
      <c r="G35" s="206">
        <f t="shared" si="1"/>
        <v>6732</v>
      </c>
    </row>
    <row r="36" spans="1:7" ht="15.75">
      <c r="A36" s="204" t="s">
        <v>429</v>
      </c>
      <c r="B36" s="204" t="s">
        <v>430</v>
      </c>
      <c r="C36" s="204">
        <v>25</v>
      </c>
      <c r="D36" s="205">
        <v>300</v>
      </c>
      <c r="E36" s="207">
        <v>16.899999999999999</v>
      </c>
      <c r="F36" s="206">
        <f t="shared" si="0"/>
        <v>422.5</v>
      </c>
      <c r="G36" s="206">
        <f t="shared" si="1"/>
        <v>5070</v>
      </c>
    </row>
    <row r="37" spans="1:7" ht="15.75">
      <c r="A37" s="204" t="s">
        <v>431</v>
      </c>
      <c r="B37" s="204" t="s">
        <v>430</v>
      </c>
      <c r="C37" s="204">
        <v>25</v>
      </c>
      <c r="D37" s="205">
        <v>300</v>
      </c>
      <c r="E37" s="207">
        <v>2.85</v>
      </c>
      <c r="F37" s="206">
        <f t="shared" si="0"/>
        <v>71.25</v>
      </c>
      <c r="G37" s="206">
        <f t="shared" si="1"/>
        <v>855</v>
      </c>
    </row>
    <row r="38" spans="1:7" ht="15.75">
      <c r="A38" s="204" t="s">
        <v>432</v>
      </c>
      <c r="B38" s="204" t="s">
        <v>399</v>
      </c>
      <c r="C38" s="204">
        <v>31</v>
      </c>
      <c r="D38" s="205">
        <v>372</v>
      </c>
      <c r="E38" s="207">
        <v>9.6</v>
      </c>
      <c r="F38" s="206">
        <f t="shared" si="0"/>
        <v>297.60000000000002</v>
      </c>
      <c r="G38" s="206">
        <f t="shared" si="1"/>
        <v>3571.2</v>
      </c>
    </row>
    <row r="39" spans="1:7" ht="15.75">
      <c r="A39" s="204" t="s">
        <v>433</v>
      </c>
      <c r="B39" s="204" t="s">
        <v>399</v>
      </c>
      <c r="C39" s="204">
        <v>30</v>
      </c>
      <c r="D39" s="205">
        <v>360</v>
      </c>
      <c r="E39" s="207">
        <v>12.3</v>
      </c>
      <c r="F39" s="206">
        <f t="shared" si="0"/>
        <v>369</v>
      </c>
      <c r="G39" s="206">
        <f t="shared" si="1"/>
        <v>4428</v>
      </c>
    </row>
    <row r="40" spans="1:7" ht="31.5">
      <c r="A40" s="204" t="s">
        <v>434</v>
      </c>
      <c r="B40" s="204" t="s">
        <v>399</v>
      </c>
      <c r="C40" s="204">
        <v>20</v>
      </c>
      <c r="D40" s="205">
        <v>240</v>
      </c>
      <c r="E40" s="207">
        <v>25</v>
      </c>
      <c r="F40" s="206">
        <f t="shared" si="0"/>
        <v>500</v>
      </c>
      <c r="G40" s="206">
        <f t="shared" si="1"/>
        <v>6000</v>
      </c>
    </row>
    <row r="41" spans="1:7" ht="31.5">
      <c r="A41" s="204" t="s">
        <v>435</v>
      </c>
      <c r="B41" s="204" t="s">
        <v>399</v>
      </c>
      <c r="C41" s="204">
        <v>30</v>
      </c>
      <c r="D41" s="205">
        <v>360</v>
      </c>
      <c r="E41" s="207">
        <v>18.920000000000002</v>
      </c>
      <c r="F41" s="206">
        <f t="shared" si="0"/>
        <v>567.6</v>
      </c>
      <c r="G41" s="206">
        <f t="shared" si="1"/>
        <v>6811.2</v>
      </c>
    </row>
    <row r="42" spans="1:7" ht="16.5" thickBot="1">
      <c r="A42" s="215" t="s">
        <v>436</v>
      </c>
      <c r="B42" s="215" t="s">
        <v>399</v>
      </c>
      <c r="C42" s="215">
        <v>15</v>
      </c>
      <c r="D42" s="216">
        <v>18</v>
      </c>
      <c r="E42" s="217">
        <v>13</v>
      </c>
      <c r="F42" s="206">
        <f t="shared" si="0"/>
        <v>195</v>
      </c>
      <c r="G42" s="206">
        <f t="shared" si="1"/>
        <v>234</v>
      </c>
    </row>
    <row r="43" spans="1:7" ht="15.75" thickBot="1">
      <c r="A43" s="544" t="s">
        <v>462</v>
      </c>
      <c r="B43" s="545"/>
      <c r="C43" s="545"/>
      <c r="D43" s="545"/>
      <c r="E43" s="218"/>
      <c r="F43" s="219">
        <f>SUM(F6:F42)</f>
        <v>35066.51</v>
      </c>
      <c r="G43" s="219">
        <f>SUM(G6:G42)</f>
        <v>383926.56</v>
      </c>
    </row>
    <row r="44" spans="1:7" ht="31.5" customHeight="1" thickBot="1">
      <c r="A44" s="544" t="s">
        <v>463</v>
      </c>
      <c r="B44" s="545"/>
      <c r="C44" s="545"/>
      <c r="D44" s="545"/>
      <c r="E44" s="549">
        <f>'RESUMO DA PROPOSTA'!E21</f>
        <v>28</v>
      </c>
      <c r="F44" s="550"/>
      <c r="G44" s="551"/>
    </row>
    <row r="45" spans="1:7" ht="31.5" customHeight="1" thickBot="1">
      <c r="A45" s="544" t="s">
        <v>464</v>
      </c>
      <c r="B45" s="545"/>
      <c r="C45" s="545"/>
      <c r="D45" s="545"/>
      <c r="E45" s="546">
        <f>F43/E44</f>
        <v>1252.3800000000001</v>
      </c>
      <c r="F45" s="547"/>
      <c r="G45" s="548"/>
    </row>
  </sheetData>
  <mergeCells count="10">
    <mergeCell ref="A4:G4"/>
    <mergeCell ref="I4:L4"/>
    <mergeCell ref="A43:D43"/>
    <mergeCell ref="A44:D44"/>
    <mergeCell ref="A45:D45"/>
    <mergeCell ref="I17:K17"/>
    <mergeCell ref="I18:K18"/>
    <mergeCell ref="I19:K19"/>
    <mergeCell ref="E45:G45"/>
    <mergeCell ref="E44:G44"/>
  </mergeCells>
  <pageMargins left="0.25" right="0.25" top="0.75" bottom="0.75" header="0.3" footer="0.3"/>
  <pageSetup paperSize="9" scale="48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5:J55"/>
  <sheetViews>
    <sheetView zoomScaleNormal="100" zoomScaleSheetLayoutView="100" workbookViewId="0">
      <selection activeCell="I18" sqref="I18"/>
    </sheetView>
  </sheetViews>
  <sheetFormatPr defaultColWidth="8.85546875" defaultRowHeight="15"/>
  <cols>
    <col min="1" max="1" width="33.7109375" style="182" customWidth="1"/>
    <col min="2" max="2" width="18.140625" style="182" customWidth="1"/>
    <col min="3" max="3" width="12.85546875" style="182" customWidth="1"/>
    <col min="4" max="4" width="19.140625" style="182" customWidth="1"/>
    <col min="5" max="5" width="13.42578125" style="182" customWidth="1"/>
    <col min="6" max="6" width="12.140625" style="182" bestFit="1" customWidth="1"/>
    <col min="7" max="7" width="24.42578125" style="182" customWidth="1"/>
    <col min="8" max="8" width="17.42578125" style="182" customWidth="1"/>
    <col min="9" max="9" width="20.28515625" style="182" customWidth="1"/>
    <col min="10" max="10" width="17.140625" style="182" customWidth="1"/>
    <col min="11" max="16384" width="8.85546875" style="182"/>
  </cols>
  <sheetData>
    <row r="5" spans="1:10">
      <c r="A5" s="249"/>
      <c r="B5" s="250"/>
    </row>
    <row r="6" spans="1:10">
      <c r="A6" s="249"/>
      <c r="B6" s="250"/>
    </row>
    <row r="8" spans="1:10" ht="15.75" thickBot="1"/>
    <row r="9" spans="1:10">
      <c r="A9" s="552" t="s">
        <v>383</v>
      </c>
      <c r="B9" s="552"/>
      <c r="C9" s="552"/>
      <c r="D9" s="552"/>
      <c r="G9" s="554"/>
      <c r="H9" s="554"/>
      <c r="I9" s="554"/>
      <c r="J9" s="554"/>
    </row>
    <row r="10" spans="1:10" ht="38.25">
      <c r="A10" s="220" t="s">
        <v>384</v>
      </c>
      <c r="B10" s="221" t="s">
        <v>385</v>
      </c>
      <c r="C10" s="221" t="s">
        <v>386</v>
      </c>
      <c r="D10" s="222" t="s">
        <v>387</v>
      </c>
      <c r="G10" s="254"/>
      <c r="H10" s="254"/>
      <c r="I10" s="254"/>
      <c r="J10" s="254"/>
    </row>
    <row r="11" spans="1:10">
      <c r="A11" s="223" t="s">
        <v>56</v>
      </c>
      <c r="B11" s="224" t="s">
        <v>481</v>
      </c>
      <c r="C11" s="288">
        <v>4360.37</v>
      </c>
      <c r="D11" s="226">
        <f>1/(30*800)*C11</f>
        <v>0.18</v>
      </c>
      <c r="G11" s="255"/>
      <c r="H11" s="256"/>
      <c r="I11" s="257"/>
      <c r="J11" s="258"/>
    </row>
    <row r="12" spans="1:10">
      <c r="A12" s="223" t="s">
        <v>382</v>
      </c>
      <c r="B12" s="227" t="s">
        <v>482</v>
      </c>
      <c r="C12" s="288">
        <v>5619.78</v>
      </c>
      <c r="D12" s="226">
        <f>1/800*C12</f>
        <v>7.02</v>
      </c>
      <c r="G12" s="255"/>
      <c r="H12" s="255"/>
      <c r="I12" s="257"/>
      <c r="J12" s="258"/>
    </row>
    <row r="13" spans="1:10" ht="15.75" thickBot="1">
      <c r="A13" s="228" t="s">
        <v>93</v>
      </c>
      <c r="B13" s="229"/>
      <c r="C13" s="289"/>
      <c r="D13" s="231">
        <f>D11+D12</f>
        <v>7.2</v>
      </c>
      <c r="G13" s="251"/>
      <c r="H13" s="251"/>
      <c r="I13" s="251"/>
      <c r="J13" s="253"/>
    </row>
    <row r="14" spans="1:10" ht="15.75" thickBot="1">
      <c r="A14" s="251"/>
      <c r="B14" s="251"/>
      <c r="C14" s="251"/>
      <c r="D14" s="252"/>
      <c r="G14" s="251"/>
      <c r="H14" s="251"/>
      <c r="I14" s="251"/>
      <c r="J14" s="253"/>
    </row>
    <row r="15" spans="1:10">
      <c r="A15" s="552" t="s">
        <v>451</v>
      </c>
      <c r="B15" s="552"/>
      <c r="C15" s="552"/>
      <c r="D15" s="552"/>
      <c r="G15" s="251"/>
      <c r="H15" s="251"/>
      <c r="I15" s="251"/>
      <c r="J15" s="253"/>
    </row>
    <row r="16" spans="1:10" ht="38.25">
      <c r="A16" s="220" t="s">
        <v>384</v>
      </c>
      <c r="B16" s="221" t="s">
        <v>385</v>
      </c>
      <c r="C16" s="221" t="s">
        <v>386</v>
      </c>
      <c r="D16" s="222" t="s">
        <v>387</v>
      </c>
      <c r="G16" s="251"/>
      <c r="H16" s="251"/>
      <c r="I16" s="251"/>
      <c r="J16" s="253"/>
    </row>
    <row r="17" spans="1:10">
      <c r="A17" s="223" t="s">
        <v>56</v>
      </c>
      <c r="B17" s="224" t="s">
        <v>487</v>
      </c>
      <c r="C17" s="225">
        <f>C11</f>
        <v>4360.37</v>
      </c>
      <c r="D17" s="226">
        <f>1/(30*800)*C17</f>
        <v>0.18</v>
      </c>
      <c r="G17" s="251"/>
      <c r="H17" s="251"/>
      <c r="I17" s="251"/>
      <c r="J17" s="253"/>
    </row>
    <row r="18" spans="1:10">
      <c r="A18" s="223" t="s">
        <v>382</v>
      </c>
      <c r="B18" s="227" t="s">
        <v>482</v>
      </c>
      <c r="C18" s="225">
        <f>C12</f>
        <v>5619.78</v>
      </c>
      <c r="D18" s="226">
        <f>1/800*C18</f>
        <v>7.02</v>
      </c>
      <c r="G18" s="251"/>
      <c r="H18" s="251"/>
      <c r="I18" s="251"/>
      <c r="J18" s="253"/>
    </row>
    <row r="19" spans="1:10" ht="15.75" thickBot="1">
      <c r="A19" s="228" t="s">
        <v>93</v>
      </c>
      <c r="B19" s="229"/>
      <c r="C19" s="230"/>
      <c r="D19" s="232">
        <f>D17+D18</f>
        <v>7.2</v>
      </c>
      <c r="G19" s="251"/>
      <c r="H19" s="251"/>
      <c r="I19" s="251"/>
      <c r="J19" s="253"/>
    </row>
    <row r="21" spans="1:10" ht="15.75" thickBot="1"/>
    <row r="22" spans="1:10">
      <c r="A22" s="552" t="s">
        <v>447</v>
      </c>
      <c r="B22" s="552"/>
      <c r="C22" s="552"/>
      <c r="D22" s="552"/>
      <c r="G22" s="554"/>
      <c r="H22" s="554"/>
      <c r="I22" s="554"/>
      <c r="J22" s="554"/>
    </row>
    <row r="23" spans="1:10" ht="38.25">
      <c r="A23" s="220" t="s">
        <v>384</v>
      </c>
      <c r="B23" s="221" t="s">
        <v>385</v>
      </c>
      <c r="C23" s="221" t="s">
        <v>386</v>
      </c>
      <c r="D23" s="222" t="s">
        <v>387</v>
      </c>
      <c r="G23" s="254"/>
      <c r="H23" s="254"/>
      <c r="I23" s="254"/>
      <c r="J23" s="254"/>
    </row>
    <row r="24" spans="1:10">
      <c r="A24" s="223" t="s">
        <v>56</v>
      </c>
      <c r="B24" s="227" t="s">
        <v>483</v>
      </c>
      <c r="C24" s="225">
        <f>C11</f>
        <v>4360.37</v>
      </c>
      <c r="D24" s="226">
        <f>1/(30*200)*C24</f>
        <v>0.73</v>
      </c>
      <c r="G24" s="255"/>
      <c r="H24" s="259"/>
      <c r="I24" s="257"/>
      <c r="J24" s="258"/>
    </row>
    <row r="25" spans="1:10">
      <c r="A25" s="223" t="s">
        <v>382</v>
      </c>
      <c r="B25" s="227" t="s">
        <v>485</v>
      </c>
      <c r="C25" s="225">
        <f>C12</f>
        <v>5619.78</v>
      </c>
      <c r="D25" s="226">
        <f>1/200*C25</f>
        <v>28.1</v>
      </c>
      <c r="G25" s="255"/>
      <c r="H25" s="255"/>
      <c r="I25" s="257"/>
      <c r="J25" s="258"/>
    </row>
    <row r="26" spans="1:10" ht="15.75" thickBot="1">
      <c r="A26" s="228" t="s">
        <v>93</v>
      </c>
      <c r="B26" s="229"/>
      <c r="C26" s="230"/>
      <c r="D26" s="231">
        <f>D24+D25</f>
        <v>28.83</v>
      </c>
      <c r="G26" s="251"/>
      <c r="H26" s="251"/>
      <c r="I26" s="251"/>
      <c r="J26" s="252"/>
    </row>
    <row r="27" spans="1:10" ht="15.75" thickBot="1"/>
    <row r="28" spans="1:10">
      <c r="A28" s="552" t="s">
        <v>455</v>
      </c>
      <c r="B28" s="552"/>
      <c r="C28" s="552"/>
      <c r="D28" s="552"/>
    </row>
    <row r="29" spans="1:10" ht="38.25">
      <c r="A29" s="220" t="s">
        <v>384</v>
      </c>
      <c r="B29" s="221" t="s">
        <v>385</v>
      </c>
      <c r="C29" s="221" t="s">
        <v>386</v>
      </c>
      <c r="D29" s="234" t="s">
        <v>387</v>
      </c>
    </row>
    <row r="30" spans="1:10">
      <c r="A30" s="223" t="s">
        <v>56</v>
      </c>
      <c r="B30" s="235" t="s">
        <v>481</v>
      </c>
      <c r="C30" s="225">
        <f>C24</f>
        <v>4360.37</v>
      </c>
      <c r="D30" s="236">
        <f>1/(30*800)*C30</f>
        <v>0.18</v>
      </c>
    </row>
    <row r="31" spans="1:10">
      <c r="A31" s="223" t="s">
        <v>382</v>
      </c>
      <c r="B31" s="227" t="s">
        <v>482</v>
      </c>
      <c r="C31" s="225">
        <f>C25</f>
        <v>5619.78</v>
      </c>
      <c r="D31" s="236">
        <f>1/800*C31</f>
        <v>7.02</v>
      </c>
    </row>
    <row r="32" spans="1:10" ht="15.75" thickBot="1">
      <c r="A32" s="228" t="s">
        <v>93</v>
      </c>
      <c r="B32" s="229"/>
      <c r="C32" s="230"/>
      <c r="D32" s="237">
        <f>D30+D31</f>
        <v>7.2</v>
      </c>
    </row>
    <row r="34" spans="1:4" ht="15.75" thickBot="1"/>
    <row r="35" spans="1:4">
      <c r="A35" s="552" t="s">
        <v>452</v>
      </c>
      <c r="B35" s="552"/>
      <c r="C35" s="552"/>
      <c r="D35" s="552"/>
    </row>
    <row r="36" spans="1:4" ht="38.25">
      <c r="A36" s="220" t="s">
        <v>384</v>
      </c>
      <c r="B36" s="221" t="s">
        <v>385</v>
      </c>
      <c r="C36" s="221" t="s">
        <v>386</v>
      </c>
      <c r="D36" s="222" t="s">
        <v>387</v>
      </c>
    </row>
    <row r="37" spans="1:4">
      <c r="A37" s="223" t="s">
        <v>56</v>
      </c>
      <c r="B37" s="224" t="s">
        <v>484</v>
      </c>
      <c r="C37" s="225">
        <f>C30</f>
        <v>4360.37</v>
      </c>
      <c r="D37" s="226">
        <f>1/(30*1000)*C37</f>
        <v>0.15</v>
      </c>
    </row>
    <row r="38" spans="1:4">
      <c r="A38" s="223" t="s">
        <v>382</v>
      </c>
      <c r="B38" s="227" t="s">
        <v>486</v>
      </c>
      <c r="C38" s="225">
        <f>C31</f>
        <v>5619.78</v>
      </c>
      <c r="D38" s="226">
        <f>1/1000*C38</f>
        <v>5.62</v>
      </c>
    </row>
    <row r="39" spans="1:4" ht="15.75" thickBot="1">
      <c r="A39" s="228" t="s">
        <v>93</v>
      </c>
      <c r="B39" s="229"/>
      <c r="C39" s="230"/>
      <c r="D39" s="232">
        <f>D37+D38</f>
        <v>5.77</v>
      </c>
    </row>
    <row r="40" spans="1:4">
      <c r="A40" s="251"/>
      <c r="B40" s="251"/>
      <c r="C40" s="251"/>
      <c r="D40" s="253"/>
    </row>
    <row r="41" spans="1:4" ht="15.75" thickBot="1">
      <c r="A41" s="251"/>
      <c r="B41" s="251"/>
      <c r="C41" s="251"/>
      <c r="D41" s="253"/>
    </row>
    <row r="42" spans="1:4">
      <c r="A42" s="552" t="s">
        <v>456</v>
      </c>
      <c r="B42" s="552"/>
      <c r="C42" s="552"/>
      <c r="D42" s="552"/>
    </row>
    <row r="43" spans="1:4" ht="38.25">
      <c r="A43" s="220" t="s">
        <v>384</v>
      </c>
      <c r="B43" s="221" t="s">
        <v>385</v>
      </c>
      <c r="C43" s="221" t="s">
        <v>386</v>
      </c>
      <c r="D43" s="222" t="s">
        <v>387</v>
      </c>
    </row>
    <row r="44" spans="1:4">
      <c r="A44" s="223" t="s">
        <v>56</v>
      </c>
      <c r="B44" s="233" t="s">
        <v>488</v>
      </c>
      <c r="C44" s="225">
        <f>C37</f>
        <v>4360.37</v>
      </c>
      <c r="D44" s="226">
        <f>1/(30*1800)*C44</f>
        <v>0.08</v>
      </c>
    </row>
    <row r="45" spans="1:4">
      <c r="A45" s="223" t="s">
        <v>382</v>
      </c>
      <c r="B45" s="227" t="s">
        <v>489</v>
      </c>
      <c r="C45" s="225">
        <f>C38</f>
        <v>5619.78</v>
      </c>
      <c r="D45" s="226">
        <f>1/1800*C45</f>
        <v>3.12</v>
      </c>
    </row>
    <row r="46" spans="1:4" ht="15.75" thickBot="1">
      <c r="A46" s="228" t="s">
        <v>93</v>
      </c>
      <c r="B46" s="229"/>
      <c r="C46" s="230"/>
      <c r="D46" s="231">
        <f>D44+D45</f>
        <v>3.2</v>
      </c>
    </row>
    <row r="48" spans="1:4" ht="15.75" thickBot="1"/>
    <row r="49" spans="1:7">
      <c r="A49" s="552" t="s">
        <v>490</v>
      </c>
      <c r="B49" s="552"/>
      <c r="C49" s="552"/>
      <c r="D49" s="552"/>
      <c r="E49" s="552"/>
      <c r="F49" s="552"/>
      <c r="G49" s="552"/>
    </row>
    <row r="50" spans="1:7" ht="87" customHeight="1">
      <c r="A50" s="220" t="s">
        <v>384</v>
      </c>
      <c r="B50" s="221" t="s">
        <v>385</v>
      </c>
      <c r="C50" s="221" t="s">
        <v>457</v>
      </c>
      <c r="D50" s="221" t="s">
        <v>458</v>
      </c>
      <c r="E50" s="221" t="s">
        <v>459</v>
      </c>
      <c r="F50" s="221" t="s">
        <v>460</v>
      </c>
      <c r="G50" s="222" t="s">
        <v>461</v>
      </c>
    </row>
    <row r="51" spans="1:7">
      <c r="A51" s="220"/>
      <c r="B51" s="221"/>
      <c r="C51" s="221"/>
      <c r="D51" s="221"/>
      <c r="E51" s="221"/>
      <c r="F51" s="221"/>
      <c r="G51" s="222"/>
    </row>
    <row r="52" spans="1:7">
      <c r="A52" s="223" t="s">
        <v>56</v>
      </c>
      <c r="B52" s="227" t="s">
        <v>491</v>
      </c>
      <c r="C52" s="227">
        <v>16</v>
      </c>
      <c r="D52" s="235" t="s">
        <v>493</v>
      </c>
      <c r="E52" s="233">
        <f>1/(30*300)*C52*1/188.76</f>
        <v>9.3999999999999998E-6</v>
      </c>
      <c r="F52" s="225">
        <f>C37</f>
        <v>4360.37</v>
      </c>
      <c r="G52" s="238">
        <f>E52*F52</f>
        <v>0.04</v>
      </c>
    </row>
    <row r="53" spans="1:7">
      <c r="A53" s="223" t="s">
        <v>382</v>
      </c>
      <c r="B53" s="227" t="s">
        <v>492</v>
      </c>
      <c r="C53" s="227">
        <v>16</v>
      </c>
      <c r="D53" s="235" t="s">
        <v>493</v>
      </c>
      <c r="E53" s="233">
        <f>1/300*C53*1/188.76</f>
        <v>2.8249999999999998E-4</v>
      </c>
      <c r="F53" s="225">
        <f>C38</f>
        <v>5619.78</v>
      </c>
      <c r="G53" s="239">
        <f>E53*F53</f>
        <v>1.59</v>
      </c>
    </row>
    <row r="54" spans="1:7" ht="15.75" thickBot="1">
      <c r="A54" s="544" t="s">
        <v>93</v>
      </c>
      <c r="B54" s="545"/>
      <c r="C54" s="545"/>
      <c r="D54" s="545"/>
      <c r="E54" s="545"/>
      <c r="F54" s="553"/>
      <c r="G54" s="232">
        <f>G52+G53</f>
        <v>1.63</v>
      </c>
    </row>
    <row r="55" spans="1:7">
      <c r="G55" s="240"/>
    </row>
  </sheetData>
  <mergeCells count="10">
    <mergeCell ref="A49:G49"/>
    <mergeCell ref="A54:F54"/>
    <mergeCell ref="A9:D9"/>
    <mergeCell ref="A22:D22"/>
    <mergeCell ref="A28:D28"/>
    <mergeCell ref="A35:D35"/>
    <mergeCell ref="G9:J9"/>
    <mergeCell ref="G22:J22"/>
    <mergeCell ref="A15:D15"/>
    <mergeCell ref="A42:D42"/>
  </mergeCells>
  <pageMargins left="0.25" right="0.25" top="0.75" bottom="0.75" header="0.3" footer="0.3"/>
  <pageSetup paperSize="9" scale="56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8:F32"/>
  <sheetViews>
    <sheetView topLeftCell="A16" zoomScaleNormal="100" zoomScaleSheetLayoutView="100" workbookViewId="0">
      <selection activeCell="L28" sqref="L28"/>
    </sheetView>
  </sheetViews>
  <sheetFormatPr defaultRowHeight="15"/>
  <cols>
    <col min="1" max="1" width="12.85546875" style="182" bestFit="1" customWidth="1"/>
    <col min="2" max="2" width="38.42578125" style="182" customWidth="1"/>
    <col min="3" max="3" width="10.28515625" style="182" customWidth="1"/>
    <col min="4" max="4" width="14.85546875" style="182" bestFit="1" customWidth="1"/>
    <col min="5" max="5" width="14.140625" style="182" bestFit="1" customWidth="1"/>
    <col min="6" max="6" width="18.28515625" style="182" bestFit="1" customWidth="1"/>
    <col min="7" max="16384" width="9.140625" style="182"/>
  </cols>
  <sheetData>
    <row r="8" spans="1:6" ht="45" customHeight="1"/>
    <row r="11" spans="1:6" ht="18.75" customHeight="1">
      <c r="A11" s="542" t="s">
        <v>494</v>
      </c>
      <c r="B11" s="543"/>
      <c r="C11" s="543"/>
      <c r="D11" s="543"/>
      <c r="E11" s="543"/>
      <c r="F11" s="543"/>
    </row>
    <row r="12" spans="1:6">
      <c r="A12" s="241" t="s">
        <v>296</v>
      </c>
      <c r="B12" s="241" t="s">
        <v>495</v>
      </c>
      <c r="C12" s="241" t="s">
        <v>390</v>
      </c>
      <c r="D12" s="241" t="s">
        <v>496</v>
      </c>
      <c r="E12" s="241" t="s">
        <v>517</v>
      </c>
      <c r="F12" s="241" t="s">
        <v>394</v>
      </c>
    </row>
    <row r="13" spans="1:6" ht="78.75">
      <c r="A13" s="204">
        <v>1</v>
      </c>
      <c r="B13" s="204" t="s">
        <v>497</v>
      </c>
      <c r="C13" s="204" t="s">
        <v>42</v>
      </c>
      <c r="D13" s="205">
        <v>2</v>
      </c>
      <c r="E13" s="242">
        <v>200</v>
      </c>
      <c r="F13" s="242">
        <f>E13*D13</f>
        <v>400</v>
      </c>
    </row>
    <row r="14" spans="1:6" ht="31.5">
      <c r="A14" s="204">
        <v>2</v>
      </c>
      <c r="B14" s="204" t="s">
        <v>498</v>
      </c>
      <c r="C14" s="204" t="s">
        <v>42</v>
      </c>
      <c r="D14" s="205">
        <v>10</v>
      </c>
      <c r="E14" s="242">
        <v>30</v>
      </c>
      <c r="F14" s="242">
        <f t="shared" ref="F14:F18" si="0">E14*D14</f>
        <v>300</v>
      </c>
    </row>
    <row r="15" spans="1:6" ht="78.75">
      <c r="A15" s="204">
        <v>3</v>
      </c>
      <c r="B15" s="204" t="s">
        <v>499</v>
      </c>
      <c r="C15" s="204" t="s">
        <v>500</v>
      </c>
      <c r="D15" s="205">
        <v>8</v>
      </c>
      <c r="E15" s="242">
        <v>250</v>
      </c>
      <c r="F15" s="242">
        <f t="shared" si="0"/>
        <v>2000</v>
      </c>
    </row>
    <row r="16" spans="1:6" ht="110.25">
      <c r="A16" s="204">
        <v>4</v>
      </c>
      <c r="B16" s="204" t="s">
        <v>501</v>
      </c>
      <c r="C16" s="204" t="s">
        <v>500</v>
      </c>
      <c r="D16" s="205">
        <v>8</v>
      </c>
      <c r="E16" s="242">
        <v>120</v>
      </c>
      <c r="F16" s="242">
        <f t="shared" si="0"/>
        <v>960</v>
      </c>
    </row>
    <row r="17" spans="1:6" ht="110.25">
      <c r="A17" s="204">
        <v>5</v>
      </c>
      <c r="B17" s="204" t="s">
        <v>502</v>
      </c>
      <c r="C17" s="204" t="s">
        <v>500</v>
      </c>
      <c r="D17" s="205">
        <v>2</v>
      </c>
      <c r="E17" s="242">
        <v>150</v>
      </c>
      <c r="F17" s="242">
        <f t="shared" si="0"/>
        <v>300</v>
      </c>
    </row>
    <row r="18" spans="1:6" ht="15.75">
      <c r="A18" s="204">
        <v>6</v>
      </c>
      <c r="B18" s="204" t="s">
        <v>503</v>
      </c>
      <c r="C18" s="204" t="s">
        <v>500</v>
      </c>
      <c r="D18" s="205">
        <v>1</v>
      </c>
      <c r="E18" s="242">
        <v>35</v>
      </c>
      <c r="F18" s="242">
        <f t="shared" si="0"/>
        <v>35</v>
      </c>
    </row>
    <row r="19" spans="1:6" ht="15.75" customHeight="1">
      <c r="A19" s="555" t="s">
        <v>394</v>
      </c>
      <c r="B19" s="556"/>
      <c r="C19" s="556"/>
      <c r="D19" s="556"/>
      <c r="E19" s="557"/>
      <c r="F19" s="243">
        <f>SUM(F13:F18)</f>
        <v>3995</v>
      </c>
    </row>
    <row r="20" spans="1:6" ht="15.75" customHeight="1">
      <c r="A20" s="555" t="s">
        <v>522</v>
      </c>
      <c r="B20" s="556"/>
      <c r="C20" s="556"/>
      <c r="D20" s="556"/>
      <c r="E20" s="557"/>
      <c r="F20" s="243">
        <f>'RESUMO DA PROPOSTA'!E21</f>
        <v>28</v>
      </c>
    </row>
    <row r="21" spans="1:6" ht="15.75" customHeight="1">
      <c r="A21" s="555" t="s">
        <v>523</v>
      </c>
      <c r="B21" s="556"/>
      <c r="C21" s="556"/>
      <c r="D21" s="556"/>
      <c r="E21" s="557"/>
      <c r="F21" s="243">
        <f>F19/F20</f>
        <v>142.68</v>
      </c>
    </row>
    <row r="22" spans="1:6" ht="15.75">
      <c r="A22" s="244"/>
      <c r="B22" s="244"/>
      <c r="C22" s="244"/>
      <c r="D22" s="244"/>
      <c r="E22" s="244"/>
      <c r="F22" s="245"/>
    </row>
    <row r="23" spans="1:6" ht="18.75">
      <c r="A23" s="246"/>
    </row>
    <row r="24" spans="1:6" ht="18.75" customHeight="1">
      <c r="A24" s="542" t="s">
        <v>504</v>
      </c>
      <c r="B24" s="543"/>
      <c r="C24" s="543"/>
      <c r="D24" s="543"/>
      <c r="E24" s="543"/>
      <c r="F24" s="543"/>
    </row>
    <row r="25" spans="1:6" ht="38.25">
      <c r="A25" s="64" t="s">
        <v>505</v>
      </c>
      <c r="B25" s="64" t="s">
        <v>506</v>
      </c>
      <c r="C25" s="190" t="s">
        <v>518</v>
      </c>
      <c r="D25" s="190" t="s">
        <v>519</v>
      </c>
      <c r="E25" s="64" t="s">
        <v>520</v>
      </c>
      <c r="F25" s="64" t="s">
        <v>521</v>
      </c>
    </row>
    <row r="26" spans="1:6" ht="65.25" customHeight="1">
      <c r="A26" s="204" t="s">
        <v>507</v>
      </c>
      <c r="B26" s="204" t="s">
        <v>508</v>
      </c>
      <c r="C26" s="205" t="s">
        <v>509</v>
      </c>
      <c r="D26" s="247">
        <v>4</v>
      </c>
      <c r="E26" s="248">
        <v>300</v>
      </c>
      <c r="F26" s="248">
        <f>E26*D26</f>
        <v>1200</v>
      </c>
    </row>
    <row r="27" spans="1:6" ht="47.25">
      <c r="A27" s="204" t="s">
        <v>510</v>
      </c>
      <c r="B27" s="204" t="s">
        <v>511</v>
      </c>
      <c r="C27" s="205" t="s">
        <v>509</v>
      </c>
      <c r="D27" s="247">
        <v>4</v>
      </c>
      <c r="E27" s="248">
        <v>250</v>
      </c>
      <c r="F27" s="248">
        <f t="shared" ref="F27:F29" si="1">E27*D27</f>
        <v>1000</v>
      </c>
    </row>
    <row r="28" spans="1:6" ht="49.5" customHeight="1">
      <c r="A28" s="204" t="s">
        <v>512</v>
      </c>
      <c r="B28" s="204" t="s">
        <v>513</v>
      </c>
      <c r="C28" s="205" t="s">
        <v>514</v>
      </c>
      <c r="D28" s="247">
        <v>2</v>
      </c>
      <c r="E28" s="248">
        <v>40</v>
      </c>
      <c r="F28" s="248">
        <f t="shared" si="1"/>
        <v>80</v>
      </c>
    </row>
    <row r="29" spans="1:6" ht="39.75" customHeight="1">
      <c r="A29" s="204" t="s">
        <v>515</v>
      </c>
      <c r="B29" s="204" t="s">
        <v>516</v>
      </c>
      <c r="C29" s="205" t="s">
        <v>514</v>
      </c>
      <c r="D29" s="247">
        <v>2</v>
      </c>
      <c r="E29" s="248">
        <v>210</v>
      </c>
      <c r="F29" s="248">
        <f t="shared" si="1"/>
        <v>420</v>
      </c>
    </row>
    <row r="30" spans="1:6">
      <c r="A30" s="555" t="s">
        <v>394</v>
      </c>
      <c r="B30" s="556"/>
      <c r="C30" s="556"/>
      <c r="D30" s="556"/>
      <c r="E30" s="557"/>
      <c r="F30" s="243">
        <f>SUM(F26:F29)</f>
        <v>2700</v>
      </c>
    </row>
    <row r="31" spans="1:6">
      <c r="A31" s="555" t="s">
        <v>522</v>
      </c>
      <c r="B31" s="556"/>
      <c r="C31" s="556"/>
      <c r="D31" s="556"/>
      <c r="E31" s="557"/>
      <c r="F31" s="243">
        <f>'RESUMO DA PROPOSTA'!D24</f>
        <v>10</v>
      </c>
    </row>
    <row r="32" spans="1:6">
      <c r="A32" s="555" t="s">
        <v>523</v>
      </c>
      <c r="B32" s="556"/>
      <c r="C32" s="556"/>
      <c r="D32" s="556"/>
      <c r="E32" s="557"/>
      <c r="F32" s="243">
        <f>F30/F31</f>
        <v>270</v>
      </c>
    </row>
  </sheetData>
  <mergeCells count="8">
    <mergeCell ref="A30:E30"/>
    <mergeCell ref="A31:E31"/>
    <mergeCell ref="A32:E32"/>
    <mergeCell ref="A11:F11"/>
    <mergeCell ref="A24:F24"/>
    <mergeCell ref="A19:E19"/>
    <mergeCell ref="A20:E20"/>
    <mergeCell ref="A21:E21"/>
  </mergeCells>
  <pageMargins left="0.25" right="0.25" top="0.75" bottom="0.75" header="0.3" footer="0.3"/>
  <pageSetup paperSize="9" scale="73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</sheetPr>
  <dimension ref="B1:H155"/>
  <sheetViews>
    <sheetView showGridLines="0" view="pageBreakPreview" topLeftCell="A43" zoomScaleNormal="115" zoomScaleSheetLayoutView="100" workbookViewId="0">
      <selection activeCell="C49" sqref="C49:F52"/>
    </sheetView>
  </sheetViews>
  <sheetFormatPr defaultColWidth="9.140625" defaultRowHeight="15" customHeight="1"/>
  <cols>
    <col min="1" max="1" width="4.42578125" style="5" customWidth="1"/>
    <col min="2" max="2" width="12.85546875" style="44" customWidth="1"/>
    <col min="3" max="3" width="43.42578125" style="44" customWidth="1"/>
    <col min="4" max="4" width="18.85546875" style="44" bestFit="1" customWidth="1"/>
    <col min="5" max="5" width="10.140625" style="85" bestFit="1" customWidth="1"/>
    <col min="6" max="6" width="11.7109375" style="45" customWidth="1"/>
    <col min="7" max="7" width="3.28515625" style="5" customWidth="1"/>
    <col min="8" max="8" width="12.140625" style="52" customWidth="1"/>
    <col min="9" max="16384" width="9.140625" style="5"/>
  </cols>
  <sheetData>
    <row r="1" spans="2:8" ht="15" customHeight="1">
      <c r="H1" s="47"/>
    </row>
    <row r="2" spans="2:8" s="49" customFormat="1" ht="15" customHeight="1">
      <c r="B2" s="8" t="s">
        <v>55</v>
      </c>
      <c r="C2" s="50" t="s">
        <v>21</v>
      </c>
      <c r="D2" s="8" t="s">
        <v>59</v>
      </c>
      <c r="E2" s="462"/>
      <c r="F2" s="462"/>
      <c r="H2" s="51"/>
    </row>
    <row r="3" spans="2:8" ht="21">
      <c r="B3" s="466" t="s">
        <v>290</v>
      </c>
      <c r="C3" s="466"/>
      <c r="D3" s="466"/>
      <c r="E3" s="466"/>
      <c r="F3" s="466"/>
    </row>
    <row r="4" spans="2:8" ht="15" customHeight="1">
      <c r="B4" s="362" t="s">
        <v>60</v>
      </c>
      <c r="C4" s="362"/>
      <c r="D4" s="362"/>
      <c r="E4" s="362"/>
      <c r="F4" s="362"/>
    </row>
    <row r="5" spans="2:8" ht="15" customHeight="1">
      <c r="B5" s="34" t="s">
        <v>62</v>
      </c>
      <c r="C5" s="30"/>
      <c r="D5" s="103" t="s">
        <v>63</v>
      </c>
      <c r="E5" s="468"/>
      <c r="F5" s="468"/>
    </row>
    <row r="6" spans="2:8" ht="15" customHeight="1">
      <c r="B6" s="34" t="s">
        <v>65</v>
      </c>
      <c r="C6" s="31"/>
      <c r="D6" s="34" t="s">
        <v>66</v>
      </c>
      <c r="E6" s="468"/>
      <c r="F6" s="468"/>
    </row>
    <row r="7" spans="2:8" ht="15" customHeight="1">
      <c r="B7" s="362" t="s">
        <v>67</v>
      </c>
      <c r="C7" s="362"/>
      <c r="D7" s="362"/>
      <c r="E7" s="362"/>
      <c r="F7" s="362"/>
    </row>
    <row r="8" spans="2:8" ht="15" customHeight="1">
      <c r="B8" s="459" t="s">
        <v>69</v>
      </c>
      <c r="C8" s="460"/>
      <c r="D8" s="34" t="s">
        <v>70</v>
      </c>
      <c r="E8" s="354"/>
      <c r="F8" s="355"/>
    </row>
    <row r="9" spans="2:8" ht="15" customHeight="1">
      <c r="B9" s="362" t="s">
        <v>75</v>
      </c>
      <c r="C9" s="362"/>
      <c r="D9" s="362"/>
      <c r="E9" s="362"/>
      <c r="F9" s="362"/>
    </row>
    <row r="10" spans="2:8" ht="15" customHeight="1">
      <c r="B10" s="34" t="s">
        <v>78</v>
      </c>
      <c r="C10" s="290" t="s">
        <v>79</v>
      </c>
      <c r="D10" s="291"/>
      <c r="E10" s="461"/>
      <c r="F10" s="461"/>
    </row>
    <row r="11" spans="2:8" ht="15" customHeight="1">
      <c r="B11" s="34" t="s">
        <v>83</v>
      </c>
      <c r="C11" s="290" t="s">
        <v>84</v>
      </c>
      <c r="D11" s="291"/>
      <c r="E11" s="300" t="s">
        <v>85</v>
      </c>
      <c r="F11" s="302"/>
    </row>
    <row r="12" spans="2:8" ht="15" customHeight="1">
      <c r="B12" s="34" t="s">
        <v>86</v>
      </c>
      <c r="C12" s="53" t="s">
        <v>87</v>
      </c>
      <c r="D12" s="54"/>
      <c r="E12" s="300" t="str">
        <f>JARDINEIRO!E12</f>
        <v>RN000112/2018 SINDLIMP</v>
      </c>
      <c r="F12" s="302"/>
    </row>
    <row r="13" spans="2:8" ht="15" customHeight="1">
      <c r="B13" s="34" t="s">
        <v>88</v>
      </c>
      <c r="C13" s="322" t="s">
        <v>89</v>
      </c>
      <c r="D13" s="328"/>
      <c r="E13" s="300">
        <v>12</v>
      </c>
      <c r="F13" s="302"/>
    </row>
    <row r="14" spans="2:8" ht="15" customHeight="1">
      <c r="B14" s="362" t="s">
        <v>90</v>
      </c>
      <c r="C14" s="362"/>
      <c r="D14" s="362"/>
      <c r="E14" s="362"/>
      <c r="F14" s="362"/>
    </row>
    <row r="15" spans="2:8" ht="15" customHeight="1">
      <c r="B15" s="451" t="s">
        <v>91</v>
      </c>
      <c r="C15" s="451"/>
      <c r="D15" s="32" t="s">
        <v>92</v>
      </c>
      <c r="E15" s="452" t="s">
        <v>243</v>
      </c>
      <c r="F15" s="453"/>
    </row>
    <row r="16" spans="2:8" ht="15" customHeight="1">
      <c r="B16" s="455" t="s">
        <v>268</v>
      </c>
      <c r="C16" s="455"/>
      <c r="D16" s="9" t="s">
        <v>95</v>
      </c>
      <c r="E16" s="456">
        <v>1</v>
      </c>
      <c r="F16" s="456"/>
      <c r="H16" s="5"/>
    </row>
    <row r="17" spans="2:8" ht="15" customHeight="1">
      <c r="H17" s="5"/>
    </row>
    <row r="18" spans="2:8" ht="12.75" customHeight="1">
      <c r="B18" s="450"/>
      <c r="C18" s="450"/>
      <c r="D18" s="450"/>
      <c r="E18" s="450"/>
      <c r="F18" s="450"/>
      <c r="H18" s="5"/>
    </row>
    <row r="19" spans="2:8" ht="15" customHeight="1">
      <c r="B19" s="362" t="s">
        <v>71</v>
      </c>
      <c r="C19" s="362"/>
      <c r="D19" s="362"/>
      <c r="E19" s="362"/>
      <c r="F19" s="362"/>
      <c r="H19" s="5"/>
    </row>
    <row r="20" spans="2:8" ht="15" customHeight="1">
      <c r="B20" s="362" t="s">
        <v>96</v>
      </c>
      <c r="C20" s="362"/>
      <c r="D20" s="362"/>
      <c r="E20" s="362"/>
      <c r="F20" s="362"/>
      <c r="H20" s="5"/>
    </row>
    <row r="21" spans="2:8" ht="15" customHeight="1">
      <c r="B21" s="437" t="s">
        <v>98</v>
      </c>
      <c r="C21" s="437"/>
      <c r="D21" s="437"/>
      <c r="E21" s="437"/>
      <c r="F21" s="437"/>
      <c r="H21" s="5"/>
    </row>
    <row r="22" spans="2:8" ht="15" customHeight="1">
      <c r="B22" s="34">
        <v>1</v>
      </c>
      <c r="C22" s="449" t="s">
        <v>99</v>
      </c>
      <c r="D22" s="449"/>
      <c r="E22" s="449"/>
      <c r="F22" s="56"/>
      <c r="H22" s="5"/>
    </row>
    <row r="23" spans="2:8" ht="15" customHeight="1">
      <c r="B23" s="34">
        <v>2</v>
      </c>
      <c r="C23" s="437" t="s">
        <v>100</v>
      </c>
      <c r="D23" s="437"/>
      <c r="E23" s="437"/>
      <c r="F23" s="57">
        <v>1492.31</v>
      </c>
      <c r="H23" s="5"/>
    </row>
    <row r="24" spans="2:8" ht="15" customHeight="1">
      <c r="B24" s="34">
        <v>3</v>
      </c>
      <c r="C24" s="437" t="s">
        <v>101</v>
      </c>
      <c r="D24" s="437"/>
      <c r="E24" s="437"/>
      <c r="F24" s="56"/>
      <c r="H24" s="5"/>
    </row>
    <row r="25" spans="2:8" ht="15" customHeight="1">
      <c r="B25" s="34">
        <v>4</v>
      </c>
      <c r="C25" s="437" t="s">
        <v>102</v>
      </c>
      <c r="D25" s="437"/>
      <c r="E25" s="437"/>
      <c r="F25" s="58">
        <f>JARDINEIRO!F25</f>
        <v>43101</v>
      </c>
      <c r="H25" s="5"/>
    </row>
    <row r="26" spans="2:8" ht="15" customHeight="1">
      <c r="B26" s="37" t="s">
        <v>103</v>
      </c>
      <c r="C26" s="438" t="s">
        <v>104</v>
      </c>
      <c r="D26" s="438"/>
      <c r="E26" s="438"/>
      <c r="F26" s="438"/>
      <c r="H26" s="5"/>
    </row>
    <row r="27" spans="2:8" ht="15" customHeight="1">
      <c r="B27" s="362" t="s">
        <v>105</v>
      </c>
      <c r="C27" s="362"/>
      <c r="D27" s="362" t="s">
        <v>106</v>
      </c>
      <c r="E27" s="362"/>
      <c r="F27" s="362"/>
      <c r="H27" s="5"/>
    </row>
    <row r="28" spans="2:8" ht="15" customHeight="1">
      <c r="B28" s="101">
        <v>1</v>
      </c>
      <c r="C28" s="362" t="s">
        <v>107</v>
      </c>
      <c r="D28" s="362"/>
      <c r="E28" s="362"/>
      <c r="F28" s="68" t="s">
        <v>108</v>
      </c>
      <c r="H28" s="5"/>
    </row>
    <row r="29" spans="2:8" ht="15" customHeight="1">
      <c r="B29" s="34" t="s">
        <v>78</v>
      </c>
      <c r="C29" s="59" t="s">
        <v>109</v>
      </c>
      <c r="D29" s="60"/>
      <c r="E29" s="80"/>
      <c r="F29" s="61">
        <f>F23</f>
        <v>1492.31</v>
      </c>
      <c r="H29" s="5"/>
    </row>
    <row r="30" spans="2:8" ht="15" customHeight="1">
      <c r="B30" s="34" t="s">
        <v>83</v>
      </c>
      <c r="C30" s="59" t="s">
        <v>110</v>
      </c>
      <c r="D30" s="60"/>
      <c r="E30" s="80"/>
      <c r="F30" s="61">
        <f>$F$29*E30</f>
        <v>0</v>
      </c>
      <c r="H30" s="5"/>
    </row>
    <row r="31" spans="2:8" ht="15" customHeight="1">
      <c r="B31" s="34" t="s">
        <v>86</v>
      </c>
      <c r="C31" s="59" t="s">
        <v>111</v>
      </c>
      <c r="D31" s="60"/>
      <c r="E31" s="81"/>
      <c r="F31" s="61">
        <f t="shared" ref="F31:F36" si="0">$F$29*E31</f>
        <v>0</v>
      </c>
      <c r="H31" s="5"/>
    </row>
    <row r="32" spans="2:8" ht="15" customHeight="1">
      <c r="B32" s="34" t="s">
        <v>88</v>
      </c>
      <c r="C32" s="59" t="s">
        <v>112</v>
      </c>
      <c r="D32" s="60"/>
      <c r="E32" s="80"/>
      <c r="F32" s="61">
        <f t="shared" si="0"/>
        <v>0</v>
      </c>
      <c r="H32" s="5"/>
    </row>
    <row r="33" spans="2:8" ht="15" customHeight="1">
      <c r="B33" s="34" t="s">
        <v>113</v>
      </c>
      <c r="C33" s="59" t="s">
        <v>114</v>
      </c>
      <c r="D33" s="60"/>
      <c r="E33" s="80"/>
      <c r="F33" s="61">
        <f t="shared" si="0"/>
        <v>0</v>
      </c>
      <c r="H33" s="5"/>
    </row>
    <row r="34" spans="2:8" ht="15" customHeight="1">
      <c r="B34" s="34" t="s">
        <v>116</v>
      </c>
      <c r="C34" s="59" t="s">
        <v>117</v>
      </c>
      <c r="D34" s="60"/>
      <c r="E34" s="80"/>
      <c r="F34" s="61">
        <f t="shared" si="0"/>
        <v>0</v>
      </c>
      <c r="H34" s="5"/>
    </row>
    <row r="35" spans="2:8" ht="15" customHeight="1">
      <c r="B35" s="34" t="s">
        <v>122</v>
      </c>
      <c r="C35" s="59" t="s">
        <v>123</v>
      </c>
      <c r="D35" s="60"/>
      <c r="E35" s="80"/>
      <c r="F35" s="61">
        <f t="shared" si="0"/>
        <v>0</v>
      </c>
      <c r="H35" s="5"/>
    </row>
    <row r="36" spans="2:8" ht="15" customHeight="1">
      <c r="B36" s="102" t="s">
        <v>125</v>
      </c>
      <c r="C36" s="290" t="s">
        <v>126</v>
      </c>
      <c r="D36" s="292"/>
      <c r="E36" s="81"/>
      <c r="F36" s="61">
        <f t="shared" si="0"/>
        <v>0</v>
      </c>
      <c r="H36" s="5"/>
    </row>
    <row r="37" spans="2:8" ht="15" customHeight="1">
      <c r="B37" s="293" t="s">
        <v>128</v>
      </c>
      <c r="C37" s="294"/>
      <c r="D37" s="295"/>
      <c r="E37" s="86">
        <f>SUM(E30:E36)</f>
        <v>0</v>
      </c>
      <c r="F37" s="69">
        <f>SUM(F29:F36)</f>
        <v>1492.31</v>
      </c>
      <c r="H37" s="5"/>
    </row>
    <row r="38" spans="2:8" ht="15" customHeight="1">
      <c r="H38" s="5"/>
    </row>
    <row r="39" spans="2:8" ht="15" customHeight="1">
      <c r="B39" s="362" t="s">
        <v>130</v>
      </c>
      <c r="C39" s="362"/>
      <c r="D39" s="362" t="s">
        <v>131</v>
      </c>
      <c r="E39" s="362"/>
      <c r="F39" s="362"/>
      <c r="H39" s="5"/>
    </row>
    <row r="40" spans="2:8" ht="15" customHeight="1">
      <c r="B40" s="101">
        <v>2</v>
      </c>
      <c r="C40" s="362" t="s">
        <v>132</v>
      </c>
      <c r="D40" s="362"/>
      <c r="E40" s="362"/>
      <c r="F40" s="68" t="s">
        <v>108</v>
      </c>
      <c r="H40" s="5"/>
    </row>
    <row r="41" spans="2:8" ht="15" customHeight="1">
      <c r="B41" s="102" t="s">
        <v>78</v>
      </c>
      <c r="C41" s="290" t="s">
        <v>133</v>
      </c>
      <c r="D41" s="291"/>
      <c r="E41" s="292"/>
      <c r="F41" s="33">
        <f>(2*2*26) -(0.06*F29)</f>
        <v>14.46</v>
      </c>
      <c r="H41" s="5"/>
    </row>
    <row r="42" spans="2:8" ht="15" customHeight="1">
      <c r="B42" s="102" t="s">
        <v>83</v>
      </c>
      <c r="C42" s="393" t="s">
        <v>134</v>
      </c>
      <c r="D42" s="393"/>
      <c r="E42" s="393"/>
      <c r="F42" s="33">
        <f>JARDINEIRO!F42</f>
        <v>116.18</v>
      </c>
      <c r="H42" s="5"/>
    </row>
    <row r="43" spans="2:8" ht="15" customHeight="1">
      <c r="B43" s="34" t="s">
        <v>86</v>
      </c>
      <c r="C43" s="382" t="s">
        <v>135</v>
      </c>
      <c r="D43" s="382"/>
      <c r="E43" s="382"/>
      <c r="F43" s="33">
        <f>JARDINEIRO!F43</f>
        <v>90</v>
      </c>
      <c r="H43" s="5"/>
    </row>
    <row r="44" spans="2:8" ht="15" customHeight="1">
      <c r="B44" s="34" t="s">
        <v>88</v>
      </c>
      <c r="C44" s="382" t="s">
        <v>136</v>
      </c>
      <c r="D44" s="382"/>
      <c r="E44" s="382"/>
      <c r="F44" s="33">
        <f>JARDINEIRO!F44</f>
        <v>10</v>
      </c>
      <c r="H44" s="5"/>
    </row>
    <row r="45" spans="2:8" ht="15" customHeight="1">
      <c r="B45" s="34" t="s">
        <v>113</v>
      </c>
      <c r="C45" s="382" t="s">
        <v>138</v>
      </c>
      <c r="D45" s="382"/>
      <c r="E45" s="382"/>
      <c r="F45" s="33">
        <f>JARDINEIRO!F45</f>
        <v>9</v>
      </c>
      <c r="H45" s="5"/>
    </row>
    <row r="46" spans="2:8" ht="15" customHeight="1">
      <c r="B46" s="102" t="s">
        <v>116</v>
      </c>
      <c r="C46" s="382" t="s">
        <v>258</v>
      </c>
      <c r="D46" s="382"/>
      <c r="E46" s="382"/>
      <c r="F46" s="33">
        <f>JARDINEIRO!F46</f>
        <v>0</v>
      </c>
      <c r="H46" s="5"/>
    </row>
    <row r="47" spans="2:8" ht="15" customHeight="1">
      <c r="B47" s="362" t="s">
        <v>143</v>
      </c>
      <c r="C47" s="362"/>
      <c r="D47" s="362"/>
      <c r="E47" s="362"/>
      <c r="F47" s="69">
        <f>SUM(F41:F46)</f>
        <v>239.64</v>
      </c>
      <c r="H47" s="5"/>
    </row>
    <row r="48" spans="2:8" ht="27.75" customHeight="1">
      <c r="B48" s="34" t="s">
        <v>145</v>
      </c>
      <c r="C48" s="309" t="s">
        <v>146</v>
      </c>
      <c r="D48" s="310"/>
      <c r="E48" s="310"/>
      <c r="F48" s="311"/>
      <c r="H48" s="5"/>
    </row>
    <row r="49" spans="2:8" ht="35.25" customHeight="1">
      <c r="B49" s="317" t="s">
        <v>148</v>
      </c>
      <c r="C49" s="373" t="s">
        <v>149</v>
      </c>
      <c r="D49" s="374"/>
      <c r="E49" s="374"/>
      <c r="F49" s="375"/>
      <c r="H49" s="5"/>
    </row>
    <row r="50" spans="2:8" ht="11.25" customHeight="1">
      <c r="B50" s="318"/>
      <c r="C50" s="376"/>
      <c r="D50" s="377"/>
      <c r="E50" s="377"/>
      <c r="F50" s="378"/>
      <c r="H50" s="5"/>
    </row>
    <row r="51" spans="2:8" ht="21.75" customHeight="1">
      <c r="B51" s="318"/>
      <c r="C51" s="376"/>
      <c r="D51" s="377"/>
      <c r="E51" s="377"/>
      <c r="F51" s="378"/>
      <c r="H51" s="5"/>
    </row>
    <row r="52" spans="2:8" ht="20.25" customHeight="1">
      <c r="B52" s="319"/>
      <c r="C52" s="379"/>
      <c r="D52" s="380"/>
      <c r="E52" s="380"/>
      <c r="F52" s="381"/>
      <c r="H52" s="5"/>
    </row>
    <row r="53" spans="2:8" ht="15" customHeight="1">
      <c r="H53" s="5"/>
    </row>
    <row r="54" spans="2:8" ht="15" customHeight="1">
      <c r="B54" s="293" t="s">
        <v>153</v>
      </c>
      <c r="C54" s="295"/>
      <c r="D54" s="293" t="s">
        <v>154</v>
      </c>
      <c r="E54" s="294"/>
      <c r="F54" s="295"/>
      <c r="H54" s="5"/>
    </row>
    <row r="55" spans="2:8" ht="15" customHeight="1">
      <c r="B55" s="101">
        <v>3</v>
      </c>
      <c r="C55" s="293" t="s">
        <v>155</v>
      </c>
      <c r="D55" s="294"/>
      <c r="E55" s="295"/>
      <c r="F55" s="68" t="s">
        <v>108</v>
      </c>
      <c r="H55" s="5"/>
    </row>
    <row r="56" spans="2:8" ht="15" customHeight="1">
      <c r="B56" s="34" t="s">
        <v>78</v>
      </c>
      <c r="C56" s="290" t="s">
        <v>156</v>
      </c>
      <c r="D56" s="291"/>
      <c r="E56" s="292"/>
      <c r="F56" s="116">
        <v>12</v>
      </c>
      <c r="H56" s="5"/>
    </row>
    <row r="57" spans="2:8" ht="15" customHeight="1">
      <c r="B57" s="34" t="s">
        <v>83</v>
      </c>
      <c r="C57" s="290" t="s">
        <v>157</v>
      </c>
      <c r="D57" s="291"/>
      <c r="E57" s="292"/>
      <c r="F57" s="116">
        <v>233.55</v>
      </c>
      <c r="H57" s="5"/>
    </row>
    <row r="58" spans="2:8" ht="15" customHeight="1">
      <c r="B58" s="34" t="s">
        <v>86</v>
      </c>
      <c r="C58" s="290" t="s">
        <v>158</v>
      </c>
      <c r="D58" s="291"/>
      <c r="E58" s="292"/>
      <c r="F58" s="35">
        <v>0</v>
      </c>
      <c r="H58" s="5"/>
    </row>
    <row r="59" spans="2:8" ht="15" customHeight="1">
      <c r="B59" s="102" t="s">
        <v>88</v>
      </c>
      <c r="C59" s="322" t="s">
        <v>259</v>
      </c>
      <c r="D59" s="328"/>
      <c r="E59" s="323"/>
      <c r="F59" s="131">
        <f>F58*-0.8</f>
        <v>0</v>
      </c>
      <c r="H59" s="5"/>
    </row>
    <row r="60" spans="2:8" ht="15" customHeight="1">
      <c r="B60" s="293" t="s">
        <v>159</v>
      </c>
      <c r="C60" s="294"/>
      <c r="D60" s="294"/>
      <c r="E60" s="295"/>
      <c r="F60" s="69">
        <f>SUM(F56:F59)</f>
        <v>245.55</v>
      </c>
      <c r="H60" s="5"/>
    </row>
    <row r="61" spans="2:8" ht="15" customHeight="1">
      <c r="B61" s="37" t="s">
        <v>103</v>
      </c>
      <c r="C61" s="306" t="s">
        <v>160</v>
      </c>
      <c r="D61" s="307"/>
      <c r="E61" s="307"/>
      <c r="F61" s="308"/>
      <c r="H61" s="5"/>
    </row>
    <row r="62" spans="2:8" ht="15" customHeight="1">
      <c r="H62" s="5"/>
    </row>
    <row r="63" spans="2:8" ht="15" customHeight="1">
      <c r="B63" s="293" t="s">
        <v>161</v>
      </c>
      <c r="C63" s="295"/>
      <c r="D63" s="293" t="s">
        <v>162</v>
      </c>
      <c r="E63" s="294"/>
      <c r="F63" s="295"/>
      <c r="H63" s="5"/>
    </row>
    <row r="64" spans="2:8" ht="15" customHeight="1">
      <c r="B64" s="293" t="s">
        <v>163</v>
      </c>
      <c r="C64" s="295"/>
      <c r="D64" s="293" t="s">
        <v>164</v>
      </c>
      <c r="E64" s="294"/>
      <c r="F64" s="295"/>
      <c r="H64" s="5"/>
    </row>
    <row r="65" spans="2:8" ht="15" customHeight="1">
      <c r="B65" s="101" t="s">
        <v>165</v>
      </c>
      <c r="C65" s="293" t="s">
        <v>164</v>
      </c>
      <c r="D65" s="295"/>
      <c r="E65" s="87" t="s">
        <v>166</v>
      </c>
      <c r="F65" s="68" t="s">
        <v>108</v>
      </c>
      <c r="H65" s="5"/>
    </row>
    <row r="66" spans="2:8" ht="15" customHeight="1">
      <c r="B66" s="34" t="s">
        <v>78</v>
      </c>
      <c r="C66" s="290" t="s">
        <v>167</v>
      </c>
      <c r="D66" s="292"/>
      <c r="E66" s="80">
        <v>0.2</v>
      </c>
      <c r="F66" s="38">
        <f>E66*$F$37</f>
        <v>298.45999999999998</v>
      </c>
      <c r="H66" s="5"/>
    </row>
    <row r="67" spans="2:8" ht="15" customHeight="1">
      <c r="B67" s="34" t="s">
        <v>83</v>
      </c>
      <c r="C67" s="290" t="s">
        <v>168</v>
      </c>
      <c r="D67" s="292"/>
      <c r="E67" s="80">
        <v>1.4999999999999999E-2</v>
      </c>
      <c r="F67" s="38">
        <f t="shared" ref="F67:F73" si="1">E67*$F$37</f>
        <v>22.38</v>
      </c>
      <c r="H67" s="5"/>
    </row>
    <row r="68" spans="2:8" ht="15" customHeight="1">
      <c r="B68" s="34" t="s">
        <v>86</v>
      </c>
      <c r="C68" s="290" t="s">
        <v>169</v>
      </c>
      <c r="D68" s="292"/>
      <c r="E68" s="80">
        <v>0.01</v>
      </c>
      <c r="F68" s="38">
        <f t="shared" si="1"/>
        <v>14.92</v>
      </c>
      <c r="H68" s="5"/>
    </row>
    <row r="69" spans="2:8" ht="15" customHeight="1">
      <c r="B69" s="34" t="s">
        <v>88</v>
      </c>
      <c r="C69" s="290" t="s">
        <v>170</v>
      </c>
      <c r="D69" s="292"/>
      <c r="E69" s="80">
        <v>2E-3</v>
      </c>
      <c r="F69" s="38">
        <f t="shared" si="1"/>
        <v>2.98</v>
      </c>
      <c r="H69" s="5"/>
    </row>
    <row r="70" spans="2:8" ht="15" customHeight="1">
      <c r="B70" s="34" t="s">
        <v>113</v>
      </c>
      <c r="C70" s="290" t="s">
        <v>171</v>
      </c>
      <c r="D70" s="292"/>
      <c r="E70" s="80">
        <v>2.5000000000000001E-2</v>
      </c>
      <c r="F70" s="38">
        <f t="shared" si="1"/>
        <v>37.31</v>
      </c>
      <c r="H70" s="5"/>
    </row>
    <row r="71" spans="2:8" ht="15" customHeight="1">
      <c r="B71" s="34" t="s">
        <v>116</v>
      </c>
      <c r="C71" s="290" t="s">
        <v>172</v>
      </c>
      <c r="D71" s="292"/>
      <c r="E71" s="80">
        <v>0.08</v>
      </c>
      <c r="F71" s="38">
        <f t="shared" si="1"/>
        <v>119.38</v>
      </c>
      <c r="H71" s="5"/>
    </row>
    <row r="72" spans="2:8" ht="15" customHeight="1">
      <c r="B72" s="34" t="s">
        <v>122</v>
      </c>
      <c r="C72" s="290" t="s">
        <v>261</v>
      </c>
      <c r="D72" s="292"/>
      <c r="E72" s="80">
        <v>2.3199999999999998E-2</v>
      </c>
      <c r="F72" s="38">
        <f t="shared" si="1"/>
        <v>34.619999999999997</v>
      </c>
      <c r="H72" s="5"/>
    </row>
    <row r="73" spans="2:8" ht="15" customHeight="1">
      <c r="B73" s="34" t="s">
        <v>125</v>
      </c>
      <c r="C73" s="290" t="s">
        <v>174</v>
      </c>
      <c r="D73" s="292"/>
      <c r="E73" s="80">
        <v>6.0000000000000001E-3</v>
      </c>
      <c r="F73" s="38">
        <f t="shared" si="1"/>
        <v>8.9499999999999993</v>
      </c>
      <c r="H73" s="5"/>
    </row>
    <row r="74" spans="2:8" ht="15" customHeight="1">
      <c r="B74" s="293" t="s">
        <v>57</v>
      </c>
      <c r="C74" s="294"/>
      <c r="D74" s="295"/>
      <c r="E74" s="79">
        <f>SUM(E66:E73)</f>
        <v>0.36120000000000002</v>
      </c>
      <c r="F74" s="69">
        <f>SUM(F66:F73)</f>
        <v>539</v>
      </c>
      <c r="H74" s="5"/>
    </row>
    <row r="75" spans="2:8" ht="15" customHeight="1">
      <c r="B75" s="39" t="s">
        <v>145</v>
      </c>
      <c r="C75" s="309" t="s">
        <v>175</v>
      </c>
      <c r="D75" s="310"/>
      <c r="E75" s="310"/>
      <c r="F75" s="311"/>
      <c r="H75" s="5"/>
    </row>
    <row r="76" spans="2:8" ht="15" customHeight="1">
      <c r="B76" s="39" t="s">
        <v>148</v>
      </c>
      <c r="C76" s="331" t="s">
        <v>176</v>
      </c>
      <c r="D76" s="332"/>
      <c r="E76" s="332"/>
      <c r="F76" s="333"/>
      <c r="H76" s="5"/>
    </row>
    <row r="77" spans="2:8" ht="15" customHeight="1">
      <c r="H77" s="5"/>
    </row>
    <row r="78" spans="2:8" ht="15" customHeight="1">
      <c r="B78" s="293" t="s">
        <v>177</v>
      </c>
      <c r="C78" s="295"/>
      <c r="D78" s="293" t="s">
        <v>178</v>
      </c>
      <c r="E78" s="294"/>
      <c r="F78" s="295"/>
      <c r="H78" s="5"/>
    </row>
    <row r="79" spans="2:8" ht="15" customHeight="1">
      <c r="B79" s="101" t="s">
        <v>179</v>
      </c>
      <c r="C79" s="293" t="s">
        <v>180</v>
      </c>
      <c r="D79" s="295"/>
      <c r="E79" s="87" t="s">
        <v>166</v>
      </c>
      <c r="F79" s="68" t="s">
        <v>108</v>
      </c>
      <c r="H79" s="5"/>
    </row>
    <row r="80" spans="2:8" ht="15" customHeight="1">
      <c r="B80" s="34" t="s">
        <v>78</v>
      </c>
      <c r="C80" s="290" t="s">
        <v>181</v>
      </c>
      <c r="D80" s="292"/>
      <c r="E80" s="80">
        <v>8.3330000000000001E-2</v>
      </c>
      <c r="F80" s="38">
        <f t="shared" ref="F80:F81" si="2">E80*$F$37</f>
        <v>124.35</v>
      </c>
      <c r="H80" s="5"/>
    </row>
    <row r="81" spans="2:8" ht="15" customHeight="1">
      <c r="B81" s="64" t="s">
        <v>83</v>
      </c>
      <c r="C81" s="329" t="s">
        <v>182</v>
      </c>
      <c r="D81" s="330"/>
      <c r="E81" s="82">
        <v>2.7779999999999999E-2</v>
      </c>
      <c r="F81" s="38">
        <f t="shared" si="2"/>
        <v>41.46</v>
      </c>
      <c r="H81" s="5"/>
    </row>
    <row r="82" spans="2:8" ht="15" customHeight="1">
      <c r="B82" s="293" t="s">
        <v>183</v>
      </c>
      <c r="C82" s="294"/>
      <c r="D82" s="295"/>
      <c r="E82" s="83">
        <f>SUM(E80:E81)</f>
        <v>0.11111</v>
      </c>
      <c r="F82" s="70">
        <f>SUM(F80:F81)</f>
        <v>165.81</v>
      </c>
      <c r="H82" s="5"/>
    </row>
    <row r="83" spans="2:8" s="63" customFormat="1" ht="15" customHeight="1">
      <c r="B83" s="102" t="s">
        <v>86</v>
      </c>
      <c r="C83" s="322" t="s">
        <v>184</v>
      </c>
      <c r="D83" s="323"/>
      <c r="E83" s="88">
        <f>E74*E82</f>
        <v>4.0129999999999999E-2</v>
      </c>
      <c r="F83" s="94">
        <f>F82*E74</f>
        <v>59.89</v>
      </c>
    </row>
    <row r="84" spans="2:8" ht="15" customHeight="1">
      <c r="B84" s="293" t="s">
        <v>57</v>
      </c>
      <c r="C84" s="294"/>
      <c r="D84" s="295"/>
      <c r="E84" s="79">
        <f>SUM(E82:E83)</f>
        <v>0.15124000000000001</v>
      </c>
      <c r="F84" s="71">
        <f>SUM(F82:F83)</f>
        <v>225.7</v>
      </c>
      <c r="H84" s="5"/>
    </row>
    <row r="85" spans="2:8" ht="15" customHeight="1">
      <c r="H85" s="5"/>
    </row>
    <row r="86" spans="2:8" ht="15" customHeight="1">
      <c r="B86" s="293" t="s">
        <v>185</v>
      </c>
      <c r="C86" s="295"/>
      <c r="D86" s="293" t="s">
        <v>186</v>
      </c>
      <c r="E86" s="294"/>
      <c r="F86" s="295"/>
      <c r="H86" s="5"/>
    </row>
    <row r="87" spans="2:8" ht="15" customHeight="1">
      <c r="B87" s="101" t="s">
        <v>187</v>
      </c>
      <c r="C87" s="293" t="s">
        <v>186</v>
      </c>
      <c r="D87" s="295"/>
      <c r="E87" s="87" t="s">
        <v>166</v>
      </c>
      <c r="F87" s="68" t="s">
        <v>108</v>
      </c>
      <c r="H87" s="5"/>
    </row>
    <row r="88" spans="2:8" ht="15" customHeight="1">
      <c r="B88" s="34" t="s">
        <v>78</v>
      </c>
      <c r="C88" s="290" t="s">
        <v>186</v>
      </c>
      <c r="D88" s="292"/>
      <c r="E88" s="78">
        <v>2.8700000000000002E-3</v>
      </c>
      <c r="F88" s="38">
        <f t="shared" ref="F88" si="3">E88*$F$37</f>
        <v>4.28</v>
      </c>
      <c r="H88" s="5"/>
    </row>
    <row r="89" spans="2:8" ht="15" customHeight="1">
      <c r="B89" s="102" t="s">
        <v>83</v>
      </c>
      <c r="C89" s="322" t="s">
        <v>188</v>
      </c>
      <c r="D89" s="323"/>
      <c r="E89" s="88">
        <f>E74*E88</f>
        <v>1.0399999999999999E-3</v>
      </c>
      <c r="F89" s="94">
        <f>F88*E74</f>
        <v>1.55</v>
      </c>
      <c r="H89" s="5"/>
    </row>
    <row r="90" spans="2:8" ht="15" customHeight="1">
      <c r="B90" s="293" t="s">
        <v>57</v>
      </c>
      <c r="C90" s="294"/>
      <c r="D90" s="295"/>
      <c r="E90" s="89">
        <f>SUM(E88:E89)</f>
        <v>3.9100000000000003E-3</v>
      </c>
      <c r="F90" s="69">
        <f>SUM(F88:F89)</f>
        <v>5.83</v>
      </c>
      <c r="H90" s="5"/>
    </row>
    <row r="91" spans="2:8" ht="15" customHeight="1">
      <c r="H91" s="5"/>
    </row>
    <row r="92" spans="2:8" ht="15" customHeight="1">
      <c r="B92" s="293" t="s">
        <v>189</v>
      </c>
      <c r="C92" s="295"/>
      <c r="D92" s="293" t="s">
        <v>190</v>
      </c>
      <c r="E92" s="294"/>
      <c r="F92" s="295"/>
      <c r="H92" s="5"/>
    </row>
    <row r="93" spans="2:8" ht="15" customHeight="1">
      <c r="B93" s="101" t="s">
        <v>191</v>
      </c>
      <c r="C93" s="293" t="s">
        <v>190</v>
      </c>
      <c r="D93" s="295"/>
      <c r="E93" s="87" t="s">
        <v>166</v>
      </c>
      <c r="F93" s="68" t="s">
        <v>108</v>
      </c>
      <c r="H93" s="5"/>
    </row>
    <row r="94" spans="2:8" ht="15" customHeight="1">
      <c r="B94" s="34" t="s">
        <v>78</v>
      </c>
      <c r="C94" s="290" t="s">
        <v>192</v>
      </c>
      <c r="D94" s="292"/>
      <c r="E94" s="78">
        <v>4.1700000000000001E-3</v>
      </c>
      <c r="F94" s="38">
        <f t="shared" ref="F94" si="4">E94*$F$37</f>
        <v>6.22</v>
      </c>
      <c r="H94" s="5"/>
    </row>
    <row r="95" spans="2:8" ht="15" customHeight="1">
      <c r="B95" s="34" t="s">
        <v>83</v>
      </c>
      <c r="C95" s="326" t="s">
        <v>193</v>
      </c>
      <c r="D95" s="327"/>
      <c r="E95" s="78">
        <f>E94*E71</f>
        <v>3.3E-4</v>
      </c>
      <c r="F95" s="38">
        <f>F94*E71</f>
        <v>0.5</v>
      </c>
      <c r="H95" s="5"/>
    </row>
    <row r="96" spans="2:8" ht="15" customHeight="1">
      <c r="B96" s="34" t="s">
        <v>86</v>
      </c>
      <c r="C96" s="290" t="s">
        <v>194</v>
      </c>
      <c r="D96" s="292"/>
      <c r="E96" s="78">
        <v>3.2000000000000001E-2</v>
      </c>
      <c r="F96" s="38">
        <f t="shared" ref="F96:F97" si="5">E96*$F$37</f>
        <v>47.75</v>
      </c>
      <c r="H96" s="5"/>
    </row>
    <row r="97" spans="2:8" ht="15" customHeight="1">
      <c r="B97" s="34" t="s">
        <v>88</v>
      </c>
      <c r="C97" s="290" t="s">
        <v>195</v>
      </c>
      <c r="D97" s="292"/>
      <c r="E97" s="78">
        <v>1.9439999999999999E-2</v>
      </c>
      <c r="F97" s="38">
        <f t="shared" si="5"/>
        <v>29.01</v>
      </c>
      <c r="H97" s="5"/>
    </row>
    <row r="98" spans="2:8" ht="15" customHeight="1">
      <c r="B98" s="34" t="s">
        <v>113</v>
      </c>
      <c r="C98" s="326" t="s">
        <v>196</v>
      </c>
      <c r="D98" s="327"/>
      <c r="E98" s="78">
        <f>E97*E74</f>
        <v>7.0200000000000002E-3</v>
      </c>
      <c r="F98" s="94">
        <f>F97*E74</f>
        <v>10.48</v>
      </c>
      <c r="H98" s="5"/>
    </row>
    <row r="99" spans="2:8" ht="15" customHeight="1">
      <c r="B99" s="102" t="s">
        <v>88</v>
      </c>
      <c r="C99" s="290" t="s">
        <v>197</v>
      </c>
      <c r="D99" s="292"/>
      <c r="E99" s="78">
        <v>8.0000000000000002E-3</v>
      </c>
      <c r="F99" s="38">
        <f t="shared" ref="F99" si="6">E99*$F$37</f>
        <v>11.94</v>
      </c>
      <c r="H99" s="5"/>
    </row>
    <row r="100" spans="2:8" ht="15" customHeight="1">
      <c r="B100" s="293" t="s">
        <v>57</v>
      </c>
      <c r="C100" s="294"/>
      <c r="D100" s="295"/>
      <c r="E100" s="79">
        <f>SUM(E94:E99)</f>
        <v>7.0959999999999995E-2</v>
      </c>
      <c r="F100" s="69">
        <f>SUM(F94:F99)</f>
        <v>105.9</v>
      </c>
      <c r="H100" s="5"/>
    </row>
    <row r="101" spans="2:8" ht="27" customHeight="1">
      <c r="B101" s="32" t="s">
        <v>145</v>
      </c>
      <c r="C101" s="322" t="s">
        <v>198</v>
      </c>
      <c r="D101" s="328"/>
      <c r="E101" s="328"/>
      <c r="F101" s="323"/>
      <c r="H101" s="5"/>
    </row>
    <row r="102" spans="2:8" ht="24.75" customHeight="1">
      <c r="B102" s="32" t="s">
        <v>148</v>
      </c>
      <c r="C102" s="322" t="s">
        <v>199</v>
      </c>
      <c r="D102" s="328"/>
      <c r="E102" s="328"/>
      <c r="F102" s="323"/>
      <c r="H102" s="5"/>
    </row>
    <row r="103" spans="2:8" ht="15" customHeight="1">
      <c r="H103" s="5"/>
    </row>
    <row r="104" spans="2:8" ht="15" customHeight="1">
      <c r="B104" s="293" t="s">
        <v>200</v>
      </c>
      <c r="C104" s="295"/>
      <c r="D104" s="293" t="s">
        <v>201</v>
      </c>
      <c r="E104" s="294"/>
      <c r="F104" s="295"/>
      <c r="H104" s="5"/>
    </row>
    <row r="105" spans="2:8" ht="15" customHeight="1">
      <c r="B105" s="101" t="s">
        <v>202</v>
      </c>
      <c r="C105" s="324" t="s">
        <v>203</v>
      </c>
      <c r="D105" s="325"/>
      <c r="E105" s="87" t="s">
        <v>166</v>
      </c>
      <c r="F105" s="68" t="s">
        <v>108</v>
      </c>
      <c r="H105" s="5"/>
    </row>
    <row r="106" spans="2:8" ht="15" customHeight="1">
      <c r="B106" s="34" t="s">
        <v>78</v>
      </c>
      <c r="C106" s="290" t="s">
        <v>204</v>
      </c>
      <c r="D106" s="292"/>
      <c r="E106" s="80">
        <v>0.11111</v>
      </c>
      <c r="F106" s="38">
        <f t="shared" ref="F106:F111" si="7">E106*$F$37</f>
        <v>165.81</v>
      </c>
      <c r="H106" s="5"/>
    </row>
    <row r="107" spans="2:8" ht="15" customHeight="1">
      <c r="B107" s="34" t="s">
        <v>83</v>
      </c>
      <c r="C107" s="326" t="s">
        <v>205</v>
      </c>
      <c r="D107" s="327"/>
      <c r="E107" s="80">
        <v>1.389E-2</v>
      </c>
      <c r="F107" s="38">
        <f t="shared" si="7"/>
        <v>20.73</v>
      </c>
      <c r="H107" s="5"/>
    </row>
    <row r="108" spans="2:8" ht="15" customHeight="1">
      <c r="B108" s="34" t="s">
        <v>86</v>
      </c>
      <c r="C108" s="290" t="s">
        <v>206</v>
      </c>
      <c r="D108" s="292"/>
      <c r="E108" s="80">
        <v>2.1000000000000001E-4</v>
      </c>
      <c r="F108" s="38">
        <f t="shared" si="7"/>
        <v>0.31</v>
      </c>
      <c r="H108" s="5"/>
    </row>
    <row r="109" spans="2:8" ht="15" customHeight="1">
      <c r="B109" s="34" t="s">
        <v>88</v>
      </c>
      <c r="C109" s="290" t="s">
        <v>207</v>
      </c>
      <c r="D109" s="292"/>
      <c r="E109" s="80">
        <v>2.7799999999999999E-3</v>
      </c>
      <c r="F109" s="38">
        <f t="shared" si="7"/>
        <v>4.1500000000000004</v>
      </c>
      <c r="H109" s="5"/>
    </row>
    <row r="110" spans="2:8" ht="15" customHeight="1">
      <c r="B110" s="34" t="s">
        <v>113</v>
      </c>
      <c r="C110" s="290" t="s">
        <v>208</v>
      </c>
      <c r="D110" s="292"/>
      <c r="E110" s="80">
        <v>3.3300000000000001E-3</v>
      </c>
      <c r="F110" s="38">
        <f t="shared" si="7"/>
        <v>4.97</v>
      </c>
      <c r="H110" s="5"/>
    </row>
    <row r="111" spans="2:8" ht="15" customHeight="1">
      <c r="B111" s="102" t="s">
        <v>116</v>
      </c>
      <c r="C111" s="322" t="s">
        <v>126</v>
      </c>
      <c r="D111" s="323"/>
      <c r="E111" s="80">
        <v>0</v>
      </c>
      <c r="F111" s="38">
        <f t="shared" si="7"/>
        <v>0</v>
      </c>
      <c r="H111" s="5"/>
    </row>
    <row r="112" spans="2:8" ht="15" customHeight="1">
      <c r="B112" s="293" t="s">
        <v>183</v>
      </c>
      <c r="C112" s="294"/>
      <c r="D112" s="295"/>
      <c r="E112" s="79">
        <f>SUM(E106:E111)</f>
        <v>0.13131999999999999</v>
      </c>
      <c r="F112" s="73">
        <f>SUM(F106:F111)</f>
        <v>195.97</v>
      </c>
      <c r="H112" s="5"/>
    </row>
    <row r="113" spans="2:8" ht="15" customHeight="1">
      <c r="B113" s="102" t="s">
        <v>122</v>
      </c>
      <c r="C113" s="326" t="s">
        <v>209</v>
      </c>
      <c r="D113" s="327"/>
      <c r="E113" s="78">
        <f>E74*E112</f>
        <v>4.743E-2</v>
      </c>
      <c r="F113" s="76">
        <f>E74*F112</f>
        <v>70.78</v>
      </c>
      <c r="H113" s="5"/>
    </row>
    <row r="114" spans="2:8" ht="15" customHeight="1">
      <c r="B114" s="293" t="s">
        <v>57</v>
      </c>
      <c r="C114" s="294"/>
      <c r="D114" s="295"/>
      <c r="E114" s="79">
        <f>SUM(E112:E113)</f>
        <v>0.17874999999999999</v>
      </c>
      <c r="F114" s="69">
        <f>SUM(F112:F113)</f>
        <v>266.75</v>
      </c>
      <c r="H114" s="5"/>
    </row>
    <row r="115" spans="2:8" ht="15" customHeight="1">
      <c r="H115" s="5"/>
    </row>
    <row r="116" spans="2:8" ht="15" customHeight="1">
      <c r="B116" s="293" t="s">
        <v>210</v>
      </c>
      <c r="C116" s="295"/>
      <c r="D116" s="293" t="s">
        <v>211</v>
      </c>
      <c r="E116" s="294"/>
      <c r="F116" s="295"/>
      <c r="H116" s="5"/>
    </row>
    <row r="117" spans="2:8" ht="15" customHeight="1">
      <c r="B117" s="101">
        <v>4</v>
      </c>
      <c r="C117" s="324" t="s">
        <v>212</v>
      </c>
      <c r="D117" s="325"/>
      <c r="E117" s="87" t="s">
        <v>166</v>
      </c>
      <c r="F117" s="68" t="s">
        <v>108</v>
      </c>
      <c r="H117" s="5"/>
    </row>
    <row r="118" spans="2:8" ht="15" customHeight="1">
      <c r="B118" s="34" t="s">
        <v>165</v>
      </c>
      <c r="C118" s="290" t="str">
        <f>D64</f>
        <v>Encargos Previdenciários e FGTS</v>
      </c>
      <c r="D118" s="292"/>
      <c r="E118" s="90">
        <f>E74</f>
        <v>0.36120000000000002</v>
      </c>
      <c r="F118" s="38">
        <f>F74</f>
        <v>539</v>
      </c>
      <c r="H118" s="5"/>
    </row>
    <row r="119" spans="2:8" ht="15" customHeight="1">
      <c r="B119" s="34" t="s">
        <v>179</v>
      </c>
      <c r="C119" s="326" t="str">
        <f>D78</f>
        <v>13° Salário e Adicional de Férias</v>
      </c>
      <c r="D119" s="327"/>
      <c r="E119" s="90">
        <f>E84</f>
        <v>0.15124000000000001</v>
      </c>
      <c r="F119" s="38">
        <f>F84</f>
        <v>225.7</v>
      </c>
      <c r="H119" s="5"/>
    </row>
    <row r="120" spans="2:8" ht="15" customHeight="1">
      <c r="B120" s="34" t="s">
        <v>187</v>
      </c>
      <c r="C120" s="290" t="str">
        <f>D86</f>
        <v>Afastamento Maternidade</v>
      </c>
      <c r="D120" s="292"/>
      <c r="E120" s="90">
        <f>E90</f>
        <v>3.9100000000000003E-3</v>
      </c>
      <c r="F120" s="38">
        <f>F90</f>
        <v>5.83</v>
      </c>
      <c r="H120" s="5"/>
    </row>
    <row r="121" spans="2:8" ht="15" customHeight="1">
      <c r="B121" s="34" t="s">
        <v>191</v>
      </c>
      <c r="C121" s="290" t="str">
        <f>D92</f>
        <v>Provisão para Rescisão</v>
      </c>
      <c r="D121" s="292"/>
      <c r="E121" s="90">
        <f>E100</f>
        <v>7.0959999999999995E-2</v>
      </c>
      <c r="F121" s="38">
        <f>F100</f>
        <v>105.9</v>
      </c>
      <c r="H121" s="5"/>
    </row>
    <row r="122" spans="2:8" ht="15" customHeight="1">
      <c r="B122" s="34" t="s">
        <v>202</v>
      </c>
      <c r="C122" s="290" t="str">
        <f>D104</f>
        <v>Custo de Reposição do Profissional Ausente</v>
      </c>
      <c r="D122" s="292"/>
      <c r="E122" s="90">
        <f>E114</f>
        <v>0.17874999999999999</v>
      </c>
      <c r="F122" s="38">
        <f>F114</f>
        <v>266.75</v>
      </c>
      <c r="H122" s="5"/>
    </row>
    <row r="123" spans="2:8" ht="15" customHeight="1">
      <c r="B123" s="102" t="s">
        <v>213</v>
      </c>
      <c r="C123" s="322" t="s">
        <v>126</v>
      </c>
      <c r="D123" s="323"/>
      <c r="E123" s="90">
        <v>0</v>
      </c>
      <c r="F123" s="38">
        <v>0</v>
      </c>
      <c r="H123" s="5"/>
    </row>
    <row r="124" spans="2:8" ht="15" customHeight="1">
      <c r="B124" s="293" t="s">
        <v>57</v>
      </c>
      <c r="C124" s="294"/>
      <c r="D124" s="295"/>
      <c r="E124" s="89">
        <f>SUM(E118:E123)</f>
        <v>0.76605999999999996</v>
      </c>
      <c r="F124" s="69">
        <f>SUM(F118:F123)</f>
        <v>1143.18</v>
      </c>
      <c r="H124" s="5"/>
    </row>
    <row r="125" spans="2:8" ht="15" customHeight="1">
      <c r="H125" s="5"/>
    </row>
    <row r="126" spans="2:8" ht="15" customHeight="1">
      <c r="B126" s="293" t="s">
        <v>214</v>
      </c>
      <c r="C126" s="295"/>
      <c r="D126" s="293" t="s">
        <v>215</v>
      </c>
      <c r="E126" s="294"/>
      <c r="F126" s="295"/>
      <c r="H126" s="5"/>
    </row>
    <row r="127" spans="2:8" ht="15" customHeight="1">
      <c r="B127" s="101">
        <v>5</v>
      </c>
      <c r="C127" s="293" t="s">
        <v>216</v>
      </c>
      <c r="D127" s="295"/>
      <c r="E127" s="87" t="s">
        <v>166</v>
      </c>
      <c r="F127" s="68" t="s">
        <v>108</v>
      </c>
      <c r="H127" s="5"/>
    </row>
    <row r="128" spans="2:8" ht="15" customHeight="1">
      <c r="B128" s="34" t="s">
        <v>78</v>
      </c>
      <c r="C128" s="315" t="s">
        <v>217</v>
      </c>
      <c r="D128" s="316"/>
      <c r="E128" s="84">
        <v>5.0000000000000001E-3</v>
      </c>
      <c r="F128" s="40">
        <f>E128*F148</f>
        <v>15.6</v>
      </c>
      <c r="H128" s="5"/>
    </row>
    <row r="129" spans="2:8" ht="15" customHeight="1">
      <c r="B129" s="34" t="s">
        <v>83</v>
      </c>
      <c r="C129" s="104" t="s">
        <v>218</v>
      </c>
      <c r="D129" s="104"/>
      <c r="E129" s="84">
        <v>5.0000000000000001E-3</v>
      </c>
      <c r="F129" s="40">
        <f>E129*(F148+F128)</f>
        <v>15.68</v>
      </c>
      <c r="H129" s="5"/>
    </row>
    <row r="130" spans="2:8" ht="15" customHeight="1">
      <c r="B130" s="303" t="s">
        <v>219</v>
      </c>
      <c r="C130" s="304"/>
      <c r="D130" s="305"/>
      <c r="E130" s="79">
        <f>SUM(E128:E129)</f>
        <v>0.01</v>
      </c>
      <c r="F130" s="69">
        <f>SUM(F128:F129)</f>
        <v>31.28</v>
      </c>
      <c r="H130" s="5"/>
    </row>
    <row r="131" spans="2:8" ht="15" customHeight="1">
      <c r="B131" s="317" t="s">
        <v>86</v>
      </c>
      <c r="C131" s="290" t="s">
        <v>220</v>
      </c>
      <c r="D131" s="291"/>
      <c r="E131" s="291"/>
      <c r="F131" s="292"/>
      <c r="H131" s="5"/>
    </row>
    <row r="132" spans="2:8" ht="15" customHeight="1">
      <c r="B132" s="318"/>
      <c r="C132" s="320" t="s">
        <v>221</v>
      </c>
      <c r="D132" s="42" t="s">
        <v>222</v>
      </c>
      <c r="E132" s="80">
        <v>7.5999999999999998E-2</v>
      </c>
      <c r="F132" s="41">
        <f>(($F$148+$F$128+$F$129)/(1-$E$136))*E132</f>
        <v>279.36</v>
      </c>
      <c r="H132" s="5"/>
    </row>
    <row r="133" spans="2:8" ht="15" customHeight="1">
      <c r="B133" s="318"/>
      <c r="C133" s="321"/>
      <c r="D133" s="42" t="s">
        <v>223</v>
      </c>
      <c r="E133" s="80">
        <v>1.6500000000000001E-2</v>
      </c>
      <c r="F133" s="41">
        <f t="shared" ref="F133:F135" si="8">(($F$148+$F$128+$F$129)/(1-$E$136))*E133</f>
        <v>60.65</v>
      </c>
      <c r="H133" s="5"/>
    </row>
    <row r="134" spans="2:8" ht="15" customHeight="1">
      <c r="B134" s="318"/>
      <c r="C134" s="43" t="s">
        <v>224</v>
      </c>
      <c r="D134" s="42" t="s">
        <v>225</v>
      </c>
      <c r="E134" s="80">
        <v>0.05</v>
      </c>
      <c r="F134" s="41">
        <f t="shared" si="8"/>
        <v>183.79</v>
      </c>
      <c r="H134" s="5"/>
    </row>
    <row r="135" spans="2:8" ht="15" customHeight="1">
      <c r="B135" s="319"/>
      <c r="C135" s="43" t="s">
        <v>226</v>
      </c>
      <c r="D135" s="72"/>
      <c r="E135" s="80">
        <v>0</v>
      </c>
      <c r="F135" s="41">
        <f t="shared" si="8"/>
        <v>0</v>
      </c>
      <c r="H135" s="5"/>
    </row>
    <row r="136" spans="2:8" ht="15" customHeight="1">
      <c r="B136" s="303" t="s">
        <v>227</v>
      </c>
      <c r="C136" s="304"/>
      <c r="D136" s="305"/>
      <c r="E136" s="79">
        <f>SUM(E132:E135)</f>
        <v>0.14249999999999999</v>
      </c>
      <c r="F136" s="69">
        <f>SUM(F132:F135)</f>
        <v>523.79999999999995</v>
      </c>
      <c r="H136" s="5"/>
    </row>
    <row r="137" spans="2:8" ht="15" customHeight="1">
      <c r="B137" s="293" t="s">
        <v>57</v>
      </c>
      <c r="C137" s="294"/>
      <c r="D137" s="295"/>
      <c r="E137" s="79">
        <f>E130+E136</f>
        <v>0.1525</v>
      </c>
      <c r="F137" s="71">
        <f>SUM(F136,F130)</f>
        <v>555.08000000000004</v>
      </c>
      <c r="H137" s="5"/>
    </row>
    <row r="138" spans="2:8" ht="15" customHeight="1">
      <c r="B138" s="39" t="s">
        <v>145</v>
      </c>
      <c r="C138" s="306" t="s">
        <v>228</v>
      </c>
      <c r="D138" s="307"/>
      <c r="E138" s="307"/>
      <c r="F138" s="308"/>
      <c r="H138" s="5"/>
    </row>
    <row r="139" spans="2:8" ht="15" customHeight="1">
      <c r="B139" s="39" t="s">
        <v>148</v>
      </c>
      <c r="C139" s="306" t="s">
        <v>229</v>
      </c>
      <c r="D139" s="307"/>
      <c r="E139" s="307"/>
      <c r="F139" s="308"/>
      <c r="H139" s="5"/>
    </row>
    <row r="140" spans="2:8" ht="25.5" customHeight="1">
      <c r="B140" s="39" t="s">
        <v>230</v>
      </c>
      <c r="C140" s="309" t="s">
        <v>231</v>
      </c>
      <c r="D140" s="310"/>
      <c r="E140" s="310"/>
      <c r="F140" s="311"/>
      <c r="H140" s="5"/>
    </row>
    <row r="141" spans="2:8" ht="15" customHeight="1">
      <c r="H141" s="5"/>
    </row>
    <row r="142" spans="2:8" ht="15" customHeight="1">
      <c r="B142" s="293" t="s">
        <v>232</v>
      </c>
      <c r="C142" s="294"/>
      <c r="D142" s="294"/>
      <c r="E142" s="294"/>
      <c r="F142" s="295"/>
      <c r="H142" s="5"/>
    </row>
    <row r="143" spans="2:8" ht="15" customHeight="1">
      <c r="B143" s="300" t="s">
        <v>233</v>
      </c>
      <c r="C143" s="301"/>
      <c r="D143" s="301"/>
      <c r="E143" s="302"/>
      <c r="F143" s="65" t="s">
        <v>234</v>
      </c>
      <c r="H143" s="5"/>
    </row>
    <row r="144" spans="2:8" ht="15" customHeight="1">
      <c r="B144" s="34" t="s">
        <v>78</v>
      </c>
      <c r="C144" s="290" t="s">
        <v>235</v>
      </c>
      <c r="D144" s="291"/>
      <c r="E144" s="292"/>
      <c r="F144" s="38">
        <f>F37</f>
        <v>1492.31</v>
      </c>
      <c r="H144" s="5"/>
    </row>
    <row r="145" spans="2:8" ht="15" customHeight="1">
      <c r="B145" s="34" t="s">
        <v>83</v>
      </c>
      <c r="C145" s="290" t="s">
        <v>236</v>
      </c>
      <c r="D145" s="291"/>
      <c r="E145" s="292"/>
      <c r="F145" s="38">
        <f>F47</f>
        <v>239.64</v>
      </c>
      <c r="H145" s="5"/>
    </row>
    <row r="146" spans="2:8" ht="15" customHeight="1">
      <c r="B146" s="34" t="s">
        <v>86</v>
      </c>
      <c r="C146" s="290" t="s">
        <v>237</v>
      </c>
      <c r="D146" s="291"/>
      <c r="E146" s="292"/>
      <c r="F146" s="38">
        <f>F60</f>
        <v>245.55</v>
      </c>
      <c r="H146" s="5"/>
    </row>
    <row r="147" spans="2:8" ht="15" customHeight="1">
      <c r="B147" s="34" t="s">
        <v>88</v>
      </c>
      <c r="C147" s="290" t="s">
        <v>212</v>
      </c>
      <c r="D147" s="291"/>
      <c r="E147" s="292"/>
      <c r="F147" s="38">
        <f>F124</f>
        <v>1143.18</v>
      </c>
      <c r="H147" s="5"/>
    </row>
    <row r="148" spans="2:8" ht="15" customHeight="1">
      <c r="B148" s="293" t="s">
        <v>238</v>
      </c>
      <c r="C148" s="294"/>
      <c r="D148" s="294"/>
      <c r="E148" s="295"/>
      <c r="F148" s="73">
        <f>SUM(F144:F147)</f>
        <v>3120.68</v>
      </c>
      <c r="H148" s="5"/>
    </row>
    <row r="149" spans="2:8" ht="15" customHeight="1">
      <c r="B149" s="34" t="s">
        <v>113</v>
      </c>
      <c r="C149" s="290" t="s">
        <v>239</v>
      </c>
      <c r="D149" s="291"/>
      <c r="E149" s="292"/>
      <c r="F149" s="38">
        <f>F137</f>
        <v>555.08000000000004</v>
      </c>
      <c r="H149" s="5"/>
    </row>
    <row r="150" spans="2:8" ht="15" customHeight="1">
      <c r="B150" s="293" t="s">
        <v>240</v>
      </c>
      <c r="C150" s="294"/>
      <c r="D150" s="294"/>
      <c r="E150" s="295"/>
      <c r="F150" s="73">
        <f>SUM(F148:F149)</f>
        <v>3675.76</v>
      </c>
      <c r="H150" s="5"/>
    </row>
    <row r="151" spans="2:8" ht="15" customHeight="1">
      <c r="B151" s="472" t="s">
        <v>264</v>
      </c>
      <c r="C151" s="472"/>
      <c r="D151" s="472"/>
      <c r="E151" s="472"/>
      <c r="F151" s="110">
        <f>F150*E16</f>
        <v>3675.76</v>
      </c>
      <c r="H151" s="5"/>
    </row>
    <row r="152" spans="2:8" ht="15" customHeight="1">
      <c r="H152" s="5"/>
    </row>
    <row r="153" spans="2:8" ht="26.25" customHeight="1">
      <c r="B153" s="470" t="s">
        <v>151</v>
      </c>
      <c r="C153" s="470"/>
      <c r="D153" s="111" t="s">
        <v>152</v>
      </c>
      <c r="E153" s="470" t="s">
        <v>251</v>
      </c>
      <c r="F153" s="470"/>
      <c r="G153" s="112"/>
      <c r="H153" s="5"/>
    </row>
    <row r="154" spans="2:8" ht="31.5" customHeight="1">
      <c r="B154" s="470" t="s">
        <v>253</v>
      </c>
      <c r="C154" s="470"/>
      <c r="D154" s="113">
        <v>60</v>
      </c>
      <c r="E154" s="471">
        <f>F151*D154</f>
        <v>220545.6</v>
      </c>
      <c r="F154" s="471"/>
      <c r="H154" s="5"/>
    </row>
    <row r="155" spans="2:8" ht="35.25" customHeight="1">
      <c r="B155" s="470" t="s">
        <v>263</v>
      </c>
      <c r="C155" s="470"/>
      <c r="D155" s="113">
        <v>12</v>
      </c>
      <c r="E155" s="471">
        <f>F151*D155</f>
        <v>44109.120000000003</v>
      </c>
      <c r="F155" s="471"/>
      <c r="H155" s="5"/>
    </row>
  </sheetData>
  <mergeCells count="150">
    <mergeCell ref="E2:F2"/>
    <mergeCell ref="B3:F3"/>
    <mergeCell ref="B4:F4"/>
    <mergeCell ref="E5:F5"/>
    <mergeCell ref="E6:F6"/>
    <mergeCell ref="B7:F7"/>
    <mergeCell ref="E12:F12"/>
    <mergeCell ref="C13:D13"/>
    <mergeCell ref="E13:F13"/>
    <mergeCell ref="B14:F14"/>
    <mergeCell ref="B15:C15"/>
    <mergeCell ref="E15:F15"/>
    <mergeCell ref="B8:C8"/>
    <mergeCell ref="E8:F8"/>
    <mergeCell ref="B9:F9"/>
    <mergeCell ref="C10:D10"/>
    <mergeCell ref="E10:F10"/>
    <mergeCell ref="C11:D11"/>
    <mergeCell ref="E11:F11"/>
    <mergeCell ref="C22:E22"/>
    <mergeCell ref="C23:E23"/>
    <mergeCell ref="C24:E24"/>
    <mergeCell ref="C25:E25"/>
    <mergeCell ref="C26:F26"/>
    <mergeCell ref="B27:C27"/>
    <mergeCell ref="D27:F27"/>
    <mergeCell ref="B16:C16"/>
    <mergeCell ref="E16:F16"/>
    <mergeCell ref="B18:F18"/>
    <mergeCell ref="B19:F19"/>
    <mergeCell ref="B20:F20"/>
    <mergeCell ref="B21:F21"/>
    <mergeCell ref="C41:E41"/>
    <mergeCell ref="C42:E42"/>
    <mergeCell ref="C43:E43"/>
    <mergeCell ref="C44:E44"/>
    <mergeCell ref="C45:E45"/>
    <mergeCell ref="C46:E46"/>
    <mergeCell ref="C28:E28"/>
    <mergeCell ref="C36:D36"/>
    <mergeCell ref="B37:D37"/>
    <mergeCell ref="B39:C39"/>
    <mergeCell ref="D39:F39"/>
    <mergeCell ref="C40:E40"/>
    <mergeCell ref="C55:E55"/>
    <mergeCell ref="C56:E56"/>
    <mergeCell ref="C57:E57"/>
    <mergeCell ref="C58:E58"/>
    <mergeCell ref="C59:E59"/>
    <mergeCell ref="B60:E60"/>
    <mergeCell ref="B47:E47"/>
    <mergeCell ref="C48:F48"/>
    <mergeCell ref="B49:B52"/>
    <mergeCell ref="C49:F52"/>
    <mergeCell ref="B54:C54"/>
    <mergeCell ref="D54:F54"/>
    <mergeCell ref="C66:D66"/>
    <mergeCell ref="C67:D67"/>
    <mergeCell ref="C68:D68"/>
    <mergeCell ref="C69:D69"/>
    <mergeCell ref="C70:D70"/>
    <mergeCell ref="C71:D71"/>
    <mergeCell ref="C61:F61"/>
    <mergeCell ref="B63:C63"/>
    <mergeCell ref="D63:F63"/>
    <mergeCell ref="B64:C64"/>
    <mergeCell ref="D64:F64"/>
    <mergeCell ref="C65:D65"/>
    <mergeCell ref="C79:D79"/>
    <mergeCell ref="C80:D80"/>
    <mergeCell ref="C81:D81"/>
    <mergeCell ref="B82:D82"/>
    <mergeCell ref="C83:D83"/>
    <mergeCell ref="B84:D84"/>
    <mergeCell ref="C72:D72"/>
    <mergeCell ref="C73:D73"/>
    <mergeCell ref="B74:D74"/>
    <mergeCell ref="C75:F75"/>
    <mergeCell ref="C76:F76"/>
    <mergeCell ref="B78:C78"/>
    <mergeCell ref="D78:F78"/>
    <mergeCell ref="B92:C92"/>
    <mergeCell ref="D92:F92"/>
    <mergeCell ref="C93:D93"/>
    <mergeCell ref="C94:D94"/>
    <mergeCell ref="C95:D95"/>
    <mergeCell ref="C96:D96"/>
    <mergeCell ref="B86:C86"/>
    <mergeCell ref="D86:F86"/>
    <mergeCell ref="C87:D87"/>
    <mergeCell ref="C88:D88"/>
    <mergeCell ref="C89:D89"/>
    <mergeCell ref="B90:D90"/>
    <mergeCell ref="B104:C104"/>
    <mergeCell ref="D104:F104"/>
    <mergeCell ref="C105:D105"/>
    <mergeCell ref="C106:D106"/>
    <mergeCell ref="C107:D107"/>
    <mergeCell ref="C108:D108"/>
    <mergeCell ref="C97:D97"/>
    <mergeCell ref="C98:D98"/>
    <mergeCell ref="C99:D99"/>
    <mergeCell ref="B100:D100"/>
    <mergeCell ref="C101:F101"/>
    <mergeCell ref="C102:F102"/>
    <mergeCell ref="B116:C116"/>
    <mergeCell ref="D116:F116"/>
    <mergeCell ref="C117:D117"/>
    <mergeCell ref="C118:D118"/>
    <mergeCell ref="C119:D119"/>
    <mergeCell ref="C120:D120"/>
    <mergeCell ref="C109:D109"/>
    <mergeCell ref="C110:D110"/>
    <mergeCell ref="C111:D111"/>
    <mergeCell ref="B112:D112"/>
    <mergeCell ref="C113:D113"/>
    <mergeCell ref="B114:D114"/>
    <mergeCell ref="C127:D127"/>
    <mergeCell ref="C128:D128"/>
    <mergeCell ref="B130:D130"/>
    <mergeCell ref="B131:B135"/>
    <mergeCell ref="C131:F131"/>
    <mergeCell ref="C132:C133"/>
    <mergeCell ref="C121:D121"/>
    <mergeCell ref="C122:D122"/>
    <mergeCell ref="C123:D123"/>
    <mergeCell ref="B124:D124"/>
    <mergeCell ref="B126:C126"/>
    <mergeCell ref="D126:F126"/>
    <mergeCell ref="B143:E143"/>
    <mergeCell ref="C144:E144"/>
    <mergeCell ref="C145:E145"/>
    <mergeCell ref="C146:E146"/>
    <mergeCell ref="C147:E147"/>
    <mergeCell ref="B148:E148"/>
    <mergeCell ref="B136:D136"/>
    <mergeCell ref="B137:D137"/>
    <mergeCell ref="C138:F138"/>
    <mergeCell ref="C139:F139"/>
    <mergeCell ref="C140:F140"/>
    <mergeCell ref="B142:F142"/>
    <mergeCell ref="B155:C155"/>
    <mergeCell ref="E155:F155"/>
    <mergeCell ref="C149:E149"/>
    <mergeCell ref="B150:E150"/>
    <mergeCell ref="B151:E151"/>
    <mergeCell ref="B153:C153"/>
    <mergeCell ref="E153:F153"/>
    <mergeCell ref="B154:C154"/>
    <mergeCell ref="E154:F154"/>
  </mergeCells>
  <pageMargins left="0.51181102362204722" right="0.51181102362204722" top="0.78740157480314965" bottom="0.78740157480314965" header="0.31496062992125984" footer="0.31496062992125984"/>
  <pageSetup paperSize="9" scale="75" orientation="portrait" r:id="rId1"/>
  <rowBreaks count="1" manualBreakCount="1">
    <brk id="90" max="16383" man="1"/>
  </rowBreaks>
  <colBreaks count="1" manualBreakCount="1">
    <brk id="7" max="1048575" man="1"/>
  </colBreaks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B00-000000000000}">
          <x14:formula1>
            <xm:f>'#listas#'!$E$1:$E$22</xm:f>
          </x14:formula1>
          <xm:sqref>C2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FFFF00"/>
  </sheetPr>
  <dimension ref="B1:H155"/>
  <sheetViews>
    <sheetView showGridLines="0" view="pageBreakPreview" topLeftCell="A46" zoomScaleNormal="115" zoomScaleSheetLayoutView="100" workbookViewId="0">
      <selection activeCell="C49" sqref="C49:F52"/>
    </sheetView>
  </sheetViews>
  <sheetFormatPr defaultColWidth="9.140625" defaultRowHeight="15" customHeight="1"/>
  <cols>
    <col min="1" max="1" width="4.42578125" style="5" customWidth="1"/>
    <col min="2" max="2" width="12.85546875" style="44" customWidth="1"/>
    <col min="3" max="3" width="43.42578125" style="44" customWidth="1"/>
    <col min="4" max="4" width="18.85546875" style="44" bestFit="1" customWidth="1"/>
    <col min="5" max="5" width="10.140625" style="85" bestFit="1" customWidth="1"/>
    <col min="6" max="6" width="11.7109375" style="45" customWidth="1"/>
    <col min="7" max="7" width="3.28515625" style="5" customWidth="1"/>
    <col min="8" max="8" width="12.140625" style="52" customWidth="1"/>
    <col min="9" max="16384" width="9.140625" style="5"/>
  </cols>
  <sheetData>
    <row r="1" spans="2:8" ht="15" customHeight="1">
      <c r="H1" s="47"/>
    </row>
    <row r="2" spans="2:8" s="49" customFormat="1" ht="15" customHeight="1">
      <c r="B2" s="8" t="s">
        <v>55</v>
      </c>
      <c r="C2" s="50" t="s">
        <v>21</v>
      </c>
      <c r="D2" s="8" t="s">
        <v>59</v>
      </c>
      <c r="E2" s="462"/>
      <c r="F2" s="462"/>
      <c r="H2" s="51"/>
    </row>
    <row r="3" spans="2:8" ht="21">
      <c r="B3" s="466" t="s">
        <v>290</v>
      </c>
      <c r="C3" s="466"/>
      <c r="D3" s="466"/>
      <c r="E3" s="466"/>
      <c r="F3" s="466"/>
    </row>
    <row r="4" spans="2:8" ht="15" customHeight="1">
      <c r="B4" s="362" t="s">
        <v>60</v>
      </c>
      <c r="C4" s="362"/>
      <c r="D4" s="362"/>
      <c r="E4" s="362"/>
      <c r="F4" s="362"/>
    </row>
    <row r="5" spans="2:8" ht="15" customHeight="1">
      <c r="B5" s="34" t="s">
        <v>62</v>
      </c>
      <c r="C5" s="30"/>
      <c r="D5" s="103" t="s">
        <v>63</v>
      </c>
      <c r="E5" s="468"/>
      <c r="F5" s="468"/>
    </row>
    <row r="6" spans="2:8" ht="15" customHeight="1">
      <c r="B6" s="34" t="s">
        <v>65</v>
      </c>
      <c r="C6" s="31"/>
      <c r="D6" s="34" t="s">
        <v>66</v>
      </c>
      <c r="E6" s="468"/>
      <c r="F6" s="468"/>
    </row>
    <row r="7" spans="2:8" ht="15" customHeight="1">
      <c r="B7" s="362" t="s">
        <v>67</v>
      </c>
      <c r="C7" s="362"/>
      <c r="D7" s="362"/>
      <c r="E7" s="362"/>
      <c r="F7" s="362"/>
    </row>
    <row r="8" spans="2:8" ht="15" customHeight="1">
      <c r="B8" s="459" t="s">
        <v>69</v>
      </c>
      <c r="C8" s="460"/>
      <c r="D8" s="34" t="s">
        <v>70</v>
      </c>
      <c r="E8" s="354"/>
      <c r="F8" s="355"/>
    </row>
    <row r="9" spans="2:8" ht="15" customHeight="1">
      <c r="B9" s="362" t="s">
        <v>75</v>
      </c>
      <c r="C9" s="362"/>
      <c r="D9" s="362"/>
      <c r="E9" s="362"/>
      <c r="F9" s="362"/>
    </row>
    <row r="10" spans="2:8" ht="15" customHeight="1">
      <c r="B10" s="34" t="s">
        <v>78</v>
      </c>
      <c r="C10" s="290" t="s">
        <v>79</v>
      </c>
      <c r="D10" s="291"/>
      <c r="E10" s="461"/>
      <c r="F10" s="461"/>
    </row>
    <row r="11" spans="2:8" ht="15" customHeight="1">
      <c r="B11" s="34" t="s">
        <v>83</v>
      </c>
      <c r="C11" s="290" t="s">
        <v>84</v>
      </c>
      <c r="D11" s="291"/>
      <c r="E11" s="300" t="s">
        <v>281</v>
      </c>
      <c r="F11" s="302"/>
    </row>
    <row r="12" spans="2:8" ht="15" customHeight="1">
      <c r="B12" s="34" t="s">
        <v>86</v>
      </c>
      <c r="C12" s="53" t="s">
        <v>87</v>
      </c>
      <c r="D12" s="54"/>
      <c r="E12" s="300" t="str">
        <f>PEDREIRO!E12</f>
        <v>RN000112/2018 SINDLIMP</v>
      </c>
      <c r="F12" s="302"/>
    </row>
    <row r="13" spans="2:8" ht="15" customHeight="1">
      <c r="B13" s="34" t="s">
        <v>88</v>
      </c>
      <c r="C13" s="322" t="s">
        <v>89</v>
      </c>
      <c r="D13" s="328"/>
      <c r="E13" s="300">
        <v>12</v>
      </c>
      <c r="F13" s="302"/>
    </row>
    <row r="14" spans="2:8" ht="15" customHeight="1">
      <c r="B14" s="362" t="s">
        <v>90</v>
      </c>
      <c r="C14" s="362"/>
      <c r="D14" s="362"/>
      <c r="E14" s="362"/>
      <c r="F14" s="362"/>
    </row>
    <row r="15" spans="2:8" ht="15" customHeight="1">
      <c r="B15" s="451" t="s">
        <v>91</v>
      </c>
      <c r="C15" s="451"/>
      <c r="D15" s="32" t="s">
        <v>92</v>
      </c>
      <c r="E15" s="452" t="s">
        <v>243</v>
      </c>
      <c r="F15" s="453"/>
    </row>
    <row r="16" spans="2:8" ht="15" customHeight="1">
      <c r="B16" s="455" t="s">
        <v>272</v>
      </c>
      <c r="C16" s="455"/>
      <c r="D16" s="9" t="s">
        <v>95</v>
      </c>
      <c r="E16" s="456">
        <v>1</v>
      </c>
      <c r="F16" s="456"/>
      <c r="H16" s="5"/>
    </row>
    <row r="17" spans="2:8" ht="15" customHeight="1">
      <c r="H17" s="5"/>
    </row>
    <row r="18" spans="2:8" ht="12.75" customHeight="1">
      <c r="B18" s="450"/>
      <c r="C18" s="450"/>
      <c r="D18" s="450"/>
      <c r="E18" s="450"/>
      <c r="F18" s="450"/>
      <c r="H18" s="5"/>
    </row>
    <row r="19" spans="2:8" ht="15" customHeight="1">
      <c r="B19" s="362" t="s">
        <v>71</v>
      </c>
      <c r="C19" s="362"/>
      <c r="D19" s="362"/>
      <c r="E19" s="362"/>
      <c r="F19" s="362"/>
      <c r="H19" s="5"/>
    </row>
    <row r="20" spans="2:8" ht="15" customHeight="1">
      <c r="B20" s="362" t="s">
        <v>96</v>
      </c>
      <c r="C20" s="362"/>
      <c r="D20" s="362"/>
      <c r="E20" s="362"/>
      <c r="F20" s="362"/>
      <c r="H20" s="5"/>
    </row>
    <row r="21" spans="2:8" ht="15" customHeight="1">
      <c r="B21" s="437" t="s">
        <v>98</v>
      </c>
      <c r="C21" s="437"/>
      <c r="D21" s="437"/>
      <c r="E21" s="437"/>
      <c r="F21" s="437"/>
      <c r="H21" s="5"/>
    </row>
    <row r="22" spans="2:8" ht="15" customHeight="1">
      <c r="B22" s="34">
        <v>1</v>
      </c>
      <c r="C22" s="449" t="s">
        <v>99</v>
      </c>
      <c r="D22" s="449"/>
      <c r="E22" s="449"/>
      <c r="F22" s="56"/>
      <c r="H22" s="5"/>
    </row>
    <row r="23" spans="2:8" ht="15" customHeight="1">
      <c r="B23" s="34">
        <v>2</v>
      </c>
      <c r="C23" s="437" t="s">
        <v>100</v>
      </c>
      <c r="D23" s="437"/>
      <c r="E23" s="437"/>
      <c r="F23" s="61">
        <v>1492.31</v>
      </c>
      <c r="H23" s="5"/>
    </row>
    <row r="24" spans="2:8" ht="15" customHeight="1">
      <c r="B24" s="34">
        <v>3</v>
      </c>
      <c r="C24" s="437" t="s">
        <v>101</v>
      </c>
      <c r="D24" s="437"/>
      <c r="E24" s="437"/>
      <c r="F24" s="56"/>
      <c r="H24" s="5"/>
    </row>
    <row r="25" spans="2:8" ht="15" customHeight="1">
      <c r="B25" s="34">
        <v>4</v>
      </c>
      <c r="C25" s="437" t="s">
        <v>102</v>
      </c>
      <c r="D25" s="437"/>
      <c r="E25" s="437"/>
      <c r="F25" s="58">
        <f>PEDREIRO!F25</f>
        <v>43101</v>
      </c>
      <c r="H25" s="5"/>
    </row>
    <row r="26" spans="2:8" ht="15" customHeight="1">
      <c r="B26" s="37" t="s">
        <v>103</v>
      </c>
      <c r="C26" s="438" t="s">
        <v>104</v>
      </c>
      <c r="D26" s="438"/>
      <c r="E26" s="438"/>
      <c r="F26" s="438"/>
      <c r="H26" s="5"/>
    </row>
    <row r="27" spans="2:8" ht="15" customHeight="1">
      <c r="B27" s="362" t="s">
        <v>105</v>
      </c>
      <c r="C27" s="362"/>
      <c r="D27" s="362" t="s">
        <v>106</v>
      </c>
      <c r="E27" s="362"/>
      <c r="F27" s="362"/>
      <c r="H27" s="5"/>
    </row>
    <row r="28" spans="2:8" ht="15" customHeight="1">
      <c r="B28" s="101">
        <v>1</v>
      </c>
      <c r="C28" s="362" t="s">
        <v>107</v>
      </c>
      <c r="D28" s="362"/>
      <c r="E28" s="362"/>
      <c r="F28" s="68" t="s">
        <v>108</v>
      </c>
      <c r="H28" s="5"/>
    </row>
    <row r="29" spans="2:8" ht="15" customHeight="1">
      <c r="B29" s="34" t="s">
        <v>78</v>
      </c>
      <c r="C29" s="59" t="s">
        <v>109</v>
      </c>
      <c r="D29" s="60"/>
      <c r="E29" s="80"/>
      <c r="F29" s="61">
        <v>1492.31</v>
      </c>
      <c r="H29" s="5"/>
    </row>
    <row r="30" spans="2:8" ht="15" customHeight="1">
      <c r="B30" s="34" t="s">
        <v>83</v>
      </c>
      <c r="C30" s="59" t="s">
        <v>110</v>
      </c>
      <c r="D30" s="60"/>
      <c r="E30" s="80"/>
      <c r="F30" s="61">
        <f>$F$29*E30</f>
        <v>0</v>
      </c>
      <c r="H30" s="5"/>
    </row>
    <row r="31" spans="2:8" ht="15" customHeight="1">
      <c r="B31" s="34" t="s">
        <v>86</v>
      </c>
      <c r="C31" s="59" t="s">
        <v>111</v>
      </c>
      <c r="D31" s="60"/>
      <c r="E31" s="81">
        <v>0.2</v>
      </c>
      <c r="F31" s="61">
        <f t="shared" ref="F31:F36" si="0">$F$29*E31</f>
        <v>298.45999999999998</v>
      </c>
      <c r="H31" s="5"/>
    </row>
    <row r="32" spans="2:8" ht="15" customHeight="1">
      <c r="B32" s="34" t="s">
        <v>88</v>
      </c>
      <c r="C32" s="59" t="s">
        <v>112</v>
      </c>
      <c r="D32" s="60"/>
      <c r="E32" s="80"/>
      <c r="F32" s="61">
        <f t="shared" si="0"/>
        <v>0</v>
      </c>
      <c r="H32" s="5"/>
    </row>
    <row r="33" spans="2:8" ht="15" customHeight="1">
      <c r="B33" s="34" t="s">
        <v>113</v>
      </c>
      <c r="C33" s="59" t="s">
        <v>114</v>
      </c>
      <c r="D33" s="60"/>
      <c r="E33" s="80"/>
      <c r="F33" s="61">
        <f t="shared" si="0"/>
        <v>0</v>
      </c>
      <c r="H33" s="5"/>
    </row>
    <row r="34" spans="2:8" ht="15" customHeight="1">
      <c r="B34" s="34" t="s">
        <v>116</v>
      </c>
      <c r="C34" s="59" t="s">
        <v>117</v>
      </c>
      <c r="D34" s="60"/>
      <c r="E34" s="80"/>
      <c r="F34" s="61">
        <f t="shared" si="0"/>
        <v>0</v>
      </c>
      <c r="H34" s="5"/>
    </row>
    <row r="35" spans="2:8" ht="15" customHeight="1">
      <c r="B35" s="34" t="s">
        <v>122</v>
      </c>
      <c r="C35" s="59" t="s">
        <v>123</v>
      </c>
      <c r="D35" s="60"/>
      <c r="E35" s="80"/>
      <c r="F35" s="61">
        <f t="shared" si="0"/>
        <v>0</v>
      </c>
      <c r="H35" s="5"/>
    </row>
    <row r="36" spans="2:8" ht="15" customHeight="1">
      <c r="B36" s="102" t="s">
        <v>125</v>
      </c>
      <c r="C36" s="290" t="s">
        <v>126</v>
      </c>
      <c r="D36" s="292"/>
      <c r="E36" s="81"/>
      <c r="F36" s="61">
        <f t="shared" si="0"/>
        <v>0</v>
      </c>
      <c r="H36" s="5"/>
    </row>
    <row r="37" spans="2:8" ht="15" customHeight="1">
      <c r="B37" s="293" t="s">
        <v>128</v>
      </c>
      <c r="C37" s="294"/>
      <c r="D37" s="295"/>
      <c r="E37" s="86">
        <f>SUM(E30:E36)</f>
        <v>0.2</v>
      </c>
      <c r="F37" s="69">
        <f>SUM(F29:F36)</f>
        <v>1790.77</v>
      </c>
      <c r="H37" s="5"/>
    </row>
    <row r="38" spans="2:8" ht="15" customHeight="1">
      <c r="H38" s="5"/>
    </row>
    <row r="39" spans="2:8" ht="15" customHeight="1">
      <c r="B39" s="362" t="s">
        <v>130</v>
      </c>
      <c r="C39" s="362"/>
      <c r="D39" s="362" t="s">
        <v>131</v>
      </c>
      <c r="E39" s="362"/>
      <c r="F39" s="362"/>
      <c r="H39" s="5"/>
    </row>
    <row r="40" spans="2:8" ht="15" customHeight="1">
      <c r="B40" s="101">
        <v>2</v>
      </c>
      <c r="C40" s="362" t="s">
        <v>132</v>
      </c>
      <c r="D40" s="362"/>
      <c r="E40" s="362"/>
      <c r="F40" s="68" t="s">
        <v>108</v>
      </c>
      <c r="H40" s="5"/>
    </row>
    <row r="41" spans="2:8" ht="15" customHeight="1">
      <c r="B41" s="102" t="s">
        <v>78</v>
      </c>
      <c r="C41" s="290" t="s">
        <v>133</v>
      </c>
      <c r="D41" s="291"/>
      <c r="E41" s="292"/>
      <c r="F41" s="33">
        <f>(2*2*26)-(0.06*F29)</f>
        <v>14.46</v>
      </c>
      <c r="H41" s="5"/>
    </row>
    <row r="42" spans="2:8" ht="15" customHeight="1">
      <c r="B42" s="102" t="s">
        <v>83</v>
      </c>
      <c r="C42" s="393" t="s">
        <v>134</v>
      </c>
      <c r="D42" s="393"/>
      <c r="E42" s="393"/>
      <c r="F42" s="33">
        <f>PEDREIRO!F42</f>
        <v>116.18</v>
      </c>
      <c r="H42" s="5"/>
    </row>
    <row r="43" spans="2:8" ht="15" customHeight="1">
      <c r="B43" s="34" t="s">
        <v>86</v>
      </c>
      <c r="C43" s="382" t="s">
        <v>135</v>
      </c>
      <c r="D43" s="382"/>
      <c r="E43" s="382"/>
      <c r="F43" s="33">
        <f>PEDREIRO!F43</f>
        <v>90</v>
      </c>
      <c r="H43" s="5"/>
    </row>
    <row r="44" spans="2:8" ht="15" customHeight="1">
      <c r="B44" s="34" t="s">
        <v>88</v>
      </c>
      <c r="C44" s="382" t="s">
        <v>136</v>
      </c>
      <c r="D44" s="382"/>
      <c r="E44" s="382"/>
      <c r="F44" s="33">
        <f>PEDREIRO!F44</f>
        <v>10</v>
      </c>
      <c r="H44" s="5"/>
    </row>
    <row r="45" spans="2:8" ht="15" customHeight="1">
      <c r="B45" s="34" t="s">
        <v>113</v>
      </c>
      <c r="C45" s="382" t="s">
        <v>138</v>
      </c>
      <c r="D45" s="382"/>
      <c r="E45" s="382"/>
      <c r="F45" s="33">
        <f>PEDREIRO!F45</f>
        <v>9</v>
      </c>
      <c r="H45" s="5"/>
    </row>
    <row r="46" spans="2:8" ht="15" customHeight="1">
      <c r="B46" s="102" t="s">
        <v>116</v>
      </c>
      <c r="C46" s="382" t="s">
        <v>258</v>
      </c>
      <c r="D46" s="382"/>
      <c r="E46" s="382"/>
      <c r="F46" s="33">
        <f>PEDREIRO!F46</f>
        <v>0</v>
      </c>
      <c r="H46" s="5"/>
    </row>
    <row r="47" spans="2:8" ht="15" customHeight="1">
      <c r="B47" s="362" t="s">
        <v>143</v>
      </c>
      <c r="C47" s="362"/>
      <c r="D47" s="362"/>
      <c r="E47" s="362"/>
      <c r="F47" s="69">
        <f>SUM(F41:F46)</f>
        <v>239.64</v>
      </c>
      <c r="H47" s="5"/>
    </row>
    <row r="48" spans="2:8" ht="27.75" customHeight="1">
      <c r="B48" s="34" t="s">
        <v>145</v>
      </c>
      <c r="C48" s="309" t="s">
        <v>146</v>
      </c>
      <c r="D48" s="310"/>
      <c r="E48" s="310"/>
      <c r="F48" s="311"/>
      <c r="H48" s="5"/>
    </row>
    <row r="49" spans="2:8" ht="35.25" customHeight="1">
      <c r="B49" s="317" t="s">
        <v>148</v>
      </c>
      <c r="C49" s="373" t="s">
        <v>149</v>
      </c>
      <c r="D49" s="374"/>
      <c r="E49" s="374"/>
      <c r="F49" s="375"/>
      <c r="H49" s="5"/>
    </row>
    <row r="50" spans="2:8" ht="11.25" customHeight="1">
      <c r="B50" s="318"/>
      <c r="C50" s="376"/>
      <c r="D50" s="377"/>
      <c r="E50" s="377"/>
      <c r="F50" s="378"/>
      <c r="H50" s="5"/>
    </row>
    <row r="51" spans="2:8" ht="21.75" customHeight="1">
      <c r="B51" s="318"/>
      <c r="C51" s="376"/>
      <c r="D51" s="377"/>
      <c r="E51" s="377"/>
      <c r="F51" s="378"/>
      <c r="H51" s="5"/>
    </row>
    <row r="52" spans="2:8" ht="20.25" customHeight="1">
      <c r="B52" s="319"/>
      <c r="C52" s="379"/>
      <c r="D52" s="380"/>
      <c r="E52" s="380"/>
      <c r="F52" s="381"/>
      <c r="H52" s="5"/>
    </row>
    <row r="53" spans="2:8" ht="15" customHeight="1">
      <c r="H53" s="5"/>
    </row>
    <row r="54" spans="2:8" ht="15" customHeight="1">
      <c r="B54" s="293" t="s">
        <v>153</v>
      </c>
      <c r="C54" s="295"/>
      <c r="D54" s="293" t="s">
        <v>154</v>
      </c>
      <c r="E54" s="294"/>
      <c r="F54" s="295"/>
      <c r="H54" s="5"/>
    </row>
    <row r="55" spans="2:8" ht="15" customHeight="1">
      <c r="B55" s="101">
        <v>3</v>
      </c>
      <c r="C55" s="293" t="s">
        <v>155</v>
      </c>
      <c r="D55" s="294"/>
      <c r="E55" s="295"/>
      <c r="F55" s="68" t="s">
        <v>108</v>
      </c>
      <c r="H55" s="5"/>
    </row>
    <row r="56" spans="2:8" ht="15" customHeight="1">
      <c r="B56" s="34" t="s">
        <v>78</v>
      </c>
      <c r="C56" s="290" t="s">
        <v>156</v>
      </c>
      <c r="D56" s="291"/>
      <c r="E56" s="292"/>
      <c r="F56" s="116">
        <v>12</v>
      </c>
      <c r="H56" s="5"/>
    </row>
    <row r="57" spans="2:8" ht="15" customHeight="1">
      <c r="B57" s="34" t="s">
        <v>83</v>
      </c>
      <c r="C57" s="290" t="s">
        <v>157</v>
      </c>
      <c r="D57" s="291"/>
      <c r="E57" s="292"/>
      <c r="F57" s="116">
        <v>239.56</v>
      </c>
      <c r="H57" s="5"/>
    </row>
    <row r="58" spans="2:8" ht="15" customHeight="1">
      <c r="B58" s="34" t="s">
        <v>86</v>
      </c>
      <c r="C58" s="290" t="s">
        <v>158</v>
      </c>
      <c r="D58" s="291"/>
      <c r="E58" s="292"/>
      <c r="F58" s="35">
        <v>0</v>
      </c>
      <c r="H58" s="5"/>
    </row>
    <row r="59" spans="2:8" ht="15" customHeight="1">
      <c r="B59" s="102" t="s">
        <v>88</v>
      </c>
      <c r="C59" s="322" t="s">
        <v>259</v>
      </c>
      <c r="D59" s="328"/>
      <c r="E59" s="323"/>
      <c r="F59" s="36">
        <f>F58*-0.8</f>
        <v>0</v>
      </c>
      <c r="H59" s="5"/>
    </row>
    <row r="60" spans="2:8" ht="15" customHeight="1">
      <c r="B60" s="293" t="s">
        <v>159</v>
      </c>
      <c r="C60" s="294"/>
      <c r="D60" s="294"/>
      <c r="E60" s="295"/>
      <c r="F60" s="69">
        <f>SUM(F56:F59)</f>
        <v>251.56</v>
      </c>
      <c r="H60" s="5"/>
    </row>
    <row r="61" spans="2:8" ht="15" customHeight="1">
      <c r="B61" s="37" t="s">
        <v>103</v>
      </c>
      <c r="C61" s="306" t="s">
        <v>160</v>
      </c>
      <c r="D61" s="307"/>
      <c r="E61" s="307"/>
      <c r="F61" s="308"/>
      <c r="H61" s="5"/>
    </row>
    <row r="62" spans="2:8" ht="15" customHeight="1">
      <c r="H62" s="5"/>
    </row>
    <row r="63" spans="2:8" ht="15" customHeight="1">
      <c r="B63" s="293" t="s">
        <v>161</v>
      </c>
      <c r="C63" s="295"/>
      <c r="D63" s="293" t="s">
        <v>162</v>
      </c>
      <c r="E63" s="294"/>
      <c r="F63" s="295"/>
      <c r="H63" s="5"/>
    </row>
    <row r="64" spans="2:8" ht="15" customHeight="1">
      <c r="B64" s="293" t="s">
        <v>163</v>
      </c>
      <c r="C64" s="295"/>
      <c r="D64" s="293" t="s">
        <v>164</v>
      </c>
      <c r="E64" s="294"/>
      <c r="F64" s="295"/>
      <c r="H64" s="5"/>
    </row>
    <row r="65" spans="2:8" ht="15" customHeight="1">
      <c r="B65" s="101" t="s">
        <v>165</v>
      </c>
      <c r="C65" s="293" t="s">
        <v>164</v>
      </c>
      <c r="D65" s="295"/>
      <c r="E65" s="87" t="s">
        <v>166</v>
      </c>
      <c r="F65" s="68" t="s">
        <v>108</v>
      </c>
      <c r="H65" s="5"/>
    </row>
    <row r="66" spans="2:8" ht="15" customHeight="1">
      <c r="B66" s="34" t="s">
        <v>78</v>
      </c>
      <c r="C66" s="290" t="s">
        <v>167</v>
      </c>
      <c r="D66" s="292"/>
      <c r="E66" s="80">
        <v>0.2</v>
      </c>
      <c r="F66" s="38">
        <f>E66*$F$37</f>
        <v>358.15</v>
      </c>
      <c r="H66" s="5"/>
    </row>
    <row r="67" spans="2:8" ht="15" customHeight="1">
      <c r="B67" s="34" t="s">
        <v>83</v>
      </c>
      <c r="C67" s="290" t="s">
        <v>168</v>
      </c>
      <c r="D67" s="292"/>
      <c r="E67" s="80">
        <v>1.4999999999999999E-2</v>
      </c>
      <c r="F67" s="38">
        <f t="shared" ref="F67:F73" si="1">E67*$F$37</f>
        <v>26.86</v>
      </c>
      <c r="H67" s="5"/>
    </row>
    <row r="68" spans="2:8" ht="15" customHeight="1">
      <c r="B68" s="34" t="s">
        <v>86</v>
      </c>
      <c r="C68" s="290" t="s">
        <v>169</v>
      </c>
      <c r="D68" s="292"/>
      <c r="E68" s="80">
        <v>0.01</v>
      </c>
      <c r="F68" s="38">
        <f t="shared" si="1"/>
        <v>17.91</v>
      </c>
      <c r="H68" s="5"/>
    </row>
    <row r="69" spans="2:8" ht="15" customHeight="1">
      <c r="B69" s="34" t="s">
        <v>88</v>
      </c>
      <c r="C69" s="290" t="s">
        <v>170</v>
      </c>
      <c r="D69" s="292"/>
      <c r="E69" s="80">
        <v>2E-3</v>
      </c>
      <c r="F69" s="38">
        <f t="shared" si="1"/>
        <v>3.58</v>
      </c>
      <c r="H69" s="5"/>
    </row>
    <row r="70" spans="2:8" ht="15" customHeight="1">
      <c r="B70" s="34" t="s">
        <v>113</v>
      </c>
      <c r="C70" s="290" t="s">
        <v>171</v>
      </c>
      <c r="D70" s="292"/>
      <c r="E70" s="80">
        <v>2.5000000000000001E-2</v>
      </c>
      <c r="F70" s="38">
        <f t="shared" si="1"/>
        <v>44.77</v>
      </c>
      <c r="H70" s="5"/>
    </row>
    <row r="71" spans="2:8" ht="15" customHeight="1">
      <c r="B71" s="34" t="s">
        <v>116</v>
      </c>
      <c r="C71" s="290" t="s">
        <v>172</v>
      </c>
      <c r="D71" s="292"/>
      <c r="E71" s="80">
        <v>0.08</v>
      </c>
      <c r="F71" s="38">
        <f t="shared" si="1"/>
        <v>143.26</v>
      </c>
      <c r="H71" s="5"/>
    </row>
    <row r="72" spans="2:8" ht="15" customHeight="1">
      <c r="B72" s="34" t="s">
        <v>122</v>
      </c>
      <c r="C72" s="290" t="s">
        <v>261</v>
      </c>
      <c r="D72" s="292"/>
      <c r="E72" s="80">
        <v>2.3199999999999998E-2</v>
      </c>
      <c r="F72" s="38">
        <f t="shared" si="1"/>
        <v>41.55</v>
      </c>
      <c r="H72" s="5"/>
    </row>
    <row r="73" spans="2:8" ht="15" customHeight="1">
      <c r="B73" s="34" t="s">
        <v>125</v>
      </c>
      <c r="C73" s="290" t="s">
        <v>174</v>
      </c>
      <c r="D73" s="292"/>
      <c r="E73" s="80">
        <v>6.0000000000000001E-3</v>
      </c>
      <c r="F73" s="38">
        <f t="shared" si="1"/>
        <v>10.74</v>
      </c>
      <c r="H73" s="5"/>
    </row>
    <row r="74" spans="2:8" ht="15" customHeight="1">
      <c r="B74" s="293" t="s">
        <v>57</v>
      </c>
      <c r="C74" s="294"/>
      <c r="D74" s="295"/>
      <c r="E74" s="79">
        <f>SUM(E66:E73)</f>
        <v>0.36120000000000002</v>
      </c>
      <c r="F74" s="69">
        <f>SUM(F66:F73)</f>
        <v>646.82000000000005</v>
      </c>
      <c r="H74" s="5"/>
    </row>
    <row r="75" spans="2:8" ht="15" customHeight="1">
      <c r="B75" s="39" t="s">
        <v>145</v>
      </c>
      <c r="C75" s="309" t="s">
        <v>175</v>
      </c>
      <c r="D75" s="310"/>
      <c r="E75" s="310"/>
      <c r="F75" s="311"/>
      <c r="H75" s="5"/>
    </row>
    <row r="76" spans="2:8" ht="15" customHeight="1">
      <c r="B76" s="39" t="s">
        <v>148</v>
      </c>
      <c r="C76" s="331" t="s">
        <v>176</v>
      </c>
      <c r="D76" s="332"/>
      <c r="E76" s="332"/>
      <c r="F76" s="333"/>
      <c r="H76" s="5"/>
    </row>
    <row r="77" spans="2:8" ht="15" customHeight="1">
      <c r="H77" s="5"/>
    </row>
    <row r="78" spans="2:8" ht="15" customHeight="1">
      <c r="B78" s="293" t="s">
        <v>177</v>
      </c>
      <c r="C78" s="295"/>
      <c r="D78" s="293" t="s">
        <v>178</v>
      </c>
      <c r="E78" s="294"/>
      <c r="F78" s="295"/>
      <c r="H78" s="5"/>
    </row>
    <row r="79" spans="2:8" ht="15" customHeight="1">
      <c r="B79" s="101" t="s">
        <v>179</v>
      </c>
      <c r="C79" s="293" t="s">
        <v>180</v>
      </c>
      <c r="D79" s="295"/>
      <c r="E79" s="87" t="s">
        <v>166</v>
      </c>
      <c r="F79" s="68" t="s">
        <v>108</v>
      </c>
      <c r="H79" s="5"/>
    </row>
    <row r="80" spans="2:8" ht="15" customHeight="1">
      <c r="B80" s="34" t="s">
        <v>78</v>
      </c>
      <c r="C80" s="290" t="s">
        <v>181</v>
      </c>
      <c r="D80" s="292"/>
      <c r="E80" s="80">
        <v>8.3330000000000001E-2</v>
      </c>
      <c r="F80" s="38">
        <f t="shared" ref="F80:F81" si="2">E80*$F$37</f>
        <v>149.22</v>
      </c>
      <c r="H80" s="5"/>
    </row>
    <row r="81" spans="2:8" ht="15" customHeight="1">
      <c r="B81" s="64" t="s">
        <v>83</v>
      </c>
      <c r="C81" s="329" t="s">
        <v>182</v>
      </c>
      <c r="D81" s="330"/>
      <c r="E81" s="82">
        <v>2.7779999999999999E-2</v>
      </c>
      <c r="F81" s="38">
        <f t="shared" si="2"/>
        <v>49.75</v>
      </c>
      <c r="H81" s="5"/>
    </row>
    <row r="82" spans="2:8" ht="15" customHeight="1">
      <c r="B82" s="293" t="s">
        <v>183</v>
      </c>
      <c r="C82" s="294"/>
      <c r="D82" s="295"/>
      <c r="E82" s="83">
        <f>SUM(E80:E81)</f>
        <v>0.11111</v>
      </c>
      <c r="F82" s="70">
        <f>SUM(F80:F81)</f>
        <v>198.97</v>
      </c>
      <c r="H82" s="5"/>
    </row>
    <row r="83" spans="2:8" s="63" customFormat="1" ht="15" customHeight="1">
      <c r="B83" s="102" t="s">
        <v>86</v>
      </c>
      <c r="C83" s="322" t="s">
        <v>184</v>
      </c>
      <c r="D83" s="323"/>
      <c r="E83" s="88">
        <f>E74*E82</f>
        <v>4.0129999999999999E-2</v>
      </c>
      <c r="F83" s="94">
        <f>F82*E74</f>
        <v>71.87</v>
      </c>
    </row>
    <row r="84" spans="2:8" ht="15" customHeight="1">
      <c r="B84" s="293" t="s">
        <v>57</v>
      </c>
      <c r="C84" s="294"/>
      <c r="D84" s="295"/>
      <c r="E84" s="79">
        <f>SUM(E82:E83)</f>
        <v>0.15124000000000001</v>
      </c>
      <c r="F84" s="71">
        <f>SUM(F82:F83)</f>
        <v>270.83999999999997</v>
      </c>
      <c r="H84" s="5"/>
    </row>
    <row r="85" spans="2:8" ht="15" customHeight="1">
      <c r="H85" s="5"/>
    </row>
    <row r="86" spans="2:8" ht="15" customHeight="1">
      <c r="B86" s="293" t="s">
        <v>185</v>
      </c>
      <c r="C86" s="295"/>
      <c r="D86" s="293" t="s">
        <v>186</v>
      </c>
      <c r="E86" s="294"/>
      <c r="F86" s="295"/>
      <c r="H86" s="5"/>
    </row>
    <row r="87" spans="2:8" ht="15" customHeight="1">
      <c r="B87" s="101" t="s">
        <v>187</v>
      </c>
      <c r="C87" s="293" t="s">
        <v>186</v>
      </c>
      <c r="D87" s="295"/>
      <c r="E87" s="87" t="s">
        <v>166</v>
      </c>
      <c r="F87" s="68" t="s">
        <v>108</v>
      </c>
      <c r="H87" s="5"/>
    </row>
    <row r="88" spans="2:8" ht="15" customHeight="1">
      <c r="B88" s="34" t="s">
        <v>78</v>
      </c>
      <c r="C88" s="290" t="s">
        <v>186</v>
      </c>
      <c r="D88" s="292"/>
      <c r="E88" s="78">
        <v>2.8700000000000002E-3</v>
      </c>
      <c r="F88" s="38">
        <f t="shared" ref="F88" si="3">E88*$F$37</f>
        <v>5.14</v>
      </c>
      <c r="H88" s="5"/>
    </row>
    <row r="89" spans="2:8" ht="15" customHeight="1">
      <c r="B89" s="102" t="s">
        <v>83</v>
      </c>
      <c r="C89" s="322" t="s">
        <v>188</v>
      </c>
      <c r="D89" s="323"/>
      <c r="E89" s="88">
        <f>E74*E88</f>
        <v>1.0399999999999999E-3</v>
      </c>
      <c r="F89" s="94">
        <f>F88*E74</f>
        <v>1.86</v>
      </c>
      <c r="H89" s="5"/>
    </row>
    <row r="90" spans="2:8" ht="15" customHeight="1">
      <c r="B90" s="293" t="s">
        <v>57</v>
      </c>
      <c r="C90" s="294"/>
      <c r="D90" s="295"/>
      <c r="E90" s="89">
        <f>SUM(E88:E89)</f>
        <v>3.9100000000000003E-3</v>
      </c>
      <c r="F90" s="69">
        <f>SUM(F88:F89)</f>
        <v>7</v>
      </c>
      <c r="H90" s="5"/>
    </row>
    <row r="91" spans="2:8" ht="15" customHeight="1">
      <c r="H91" s="5"/>
    </row>
    <row r="92" spans="2:8" ht="15" customHeight="1">
      <c r="B92" s="293" t="s">
        <v>189</v>
      </c>
      <c r="C92" s="295"/>
      <c r="D92" s="293" t="s">
        <v>190</v>
      </c>
      <c r="E92" s="294"/>
      <c r="F92" s="295"/>
      <c r="H92" s="5"/>
    </row>
    <row r="93" spans="2:8" ht="15" customHeight="1">
      <c r="B93" s="101" t="s">
        <v>191</v>
      </c>
      <c r="C93" s="293" t="s">
        <v>190</v>
      </c>
      <c r="D93" s="295"/>
      <c r="E93" s="87" t="s">
        <v>166</v>
      </c>
      <c r="F93" s="68" t="s">
        <v>108</v>
      </c>
      <c r="H93" s="5"/>
    </row>
    <row r="94" spans="2:8" ht="15" customHeight="1">
      <c r="B94" s="34" t="s">
        <v>78</v>
      </c>
      <c r="C94" s="290" t="s">
        <v>192</v>
      </c>
      <c r="D94" s="292"/>
      <c r="E94" s="78">
        <v>4.1700000000000001E-3</v>
      </c>
      <c r="F94" s="38">
        <f t="shared" ref="F94" si="4">E94*$F$37</f>
        <v>7.47</v>
      </c>
      <c r="H94" s="5"/>
    </row>
    <row r="95" spans="2:8" ht="15" customHeight="1">
      <c r="B95" s="34" t="s">
        <v>83</v>
      </c>
      <c r="C95" s="326" t="s">
        <v>193</v>
      </c>
      <c r="D95" s="327"/>
      <c r="E95" s="78">
        <f>E94*E71</f>
        <v>3.3E-4</v>
      </c>
      <c r="F95" s="38">
        <f>F94*E71</f>
        <v>0.6</v>
      </c>
      <c r="H95" s="5"/>
    </row>
    <row r="96" spans="2:8" ht="15" customHeight="1">
      <c r="B96" s="34" t="s">
        <v>86</v>
      </c>
      <c r="C96" s="290" t="s">
        <v>194</v>
      </c>
      <c r="D96" s="292"/>
      <c r="E96" s="78">
        <v>3.2000000000000001E-2</v>
      </c>
      <c r="F96" s="38">
        <f t="shared" ref="F96:F97" si="5">E96*$F$37</f>
        <v>57.3</v>
      </c>
      <c r="H96" s="5"/>
    </row>
    <row r="97" spans="2:8" ht="15" customHeight="1">
      <c r="B97" s="34" t="s">
        <v>88</v>
      </c>
      <c r="C97" s="290" t="s">
        <v>195</v>
      </c>
      <c r="D97" s="292"/>
      <c r="E97" s="78">
        <v>1.9439999999999999E-2</v>
      </c>
      <c r="F97" s="38">
        <f t="shared" si="5"/>
        <v>34.81</v>
      </c>
      <c r="H97" s="5"/>
    </row>
    <row r="98" spans="2:8" ht="15" customHeight="1">
      <c r="B98" s="34" t="s">
        <v>113</v>
      </c>
      <c r="C98" s="326" t="s">
        <v>196</v>
      </c>
      <c r="D98" s="327"/>
      <c r="E98" s="78">
        <f>E97*E74</f>
        <v>7.0200000000000002E-3</v>
      </c>
      <c r="F98" s="94">
        <f>F97*E74</f>
        <v>12.57</v>
      </c>
      <c r="H98" s="5"/>
    </row>
    <row r="99" spans="2:8" ht="15" customHeight="1">
      <c r="B99" s="102" t="s">
        <v>88</v>
      </c>
      <c r="C99" s="290" t="s">
        <v>197</v>
      </c>
      <c r="D99" s="292"/>
      <c r="E99" s="78">
        <v>8.0000000000000002E-3</v>
      </c>
      <c r="F99" s="38">
        <f t="shared" ref="F99" si="6">E99*$F$37</f>
        <v>14.33</v>
      </c>
      <c r="H99" s="5"/>
    </row>
    <row r="100" spans="2:8" ht="15" customHeight="1">
      <c r="B100" s="293" t="s">
        <v>57</v>
      </c>
      <c r="C100" s="294"/>
      <c r="D100" s="295"/>
      <c r="E100" s="79">
        <f>SUM(E94:E99)</f>
        <v>7.0959999999999995E-2</v>
      </c>
      <c r="F100" s="69">
        <f>SUM(F94:F99)</f>
        <v>127.08</v>
      </c>
      <c r="H100" s="5"/>
    </row>
    <row r="101" spans="2:8" ht="27" customHeight="1">
      <c r="B101" s="32" t="s">
        <v>145</v>
      </c>
      <c r="C101" s="322" t="s">
        <v>198</v>
      </c>
      <c r="D101" s="328"/>
      <c r="E101" s="328"/>
      <c r="F101" s="323"/>
      <c r="H101" s="5"/>
    </row>
    <row r="102" spans="2:8" ht="24.75" customHeight="1">
      <c r="B102" s="32" t="s">
        <v>148</v>
      </c>
      <c r="C102" s="322" t="s">
        <v>199</v>
      </c>
      <c r="D102" s="328"/>
      <c r="E102" s="328"/>
      <c r="F102" s="323"/>
      <c r="H102" s="5"/>
    </row>
    <row r="103" spans="2:8" ht="15" customHeight="1">
      <c r="H103" s="5"/>
    </row>
    <row r="104" spans="2:8" ht="15" customHeight="1">
      <c r="B104" s="293" t="s">
        <v>200</v>
      </c>
      <c r="C104" s="295"/>
      <c r="D104" s="293" t="s">
        <v>201</v>
      </c>
      <c r="E104" s="294"/>
      <c r="F104" s="295"/>
      <c r="H104" s="5"/>
    </row>
    <row r="105" spans="2:8" ht="15" customHeight="1">
      <c r="B105" s="101" t="s">
        <v>202</v>
      </c>
      <c r="C105" s="324" t="s">
        <v>203</v>
      </c>
      <c r="D105" s="325"/>
      <c r="E105" s="87" t="s">
        <v>166</v>
      </c>
      <c r="F105" s="68" t="s">
        <v>108</v>
      </c>
      <c r="H105" s="5"/>
    </row>
    <row r="106" spans="2:8" ht="15" customHeight="1">
      <c r="B106" s="34" t="s">
        <v>78</v>
      </c>
      <c r="C106" s="290" t="s">
        <v>204</v>
      </c>
      <c r="D106" s="292"/>
      <c r="E106" s="80">
        <v>0.11111</v>
      </c>
      <c r="F106" s="38">
        <f t="shared" ref="F106:F111" si="7">E106*$F$37</f>
        <v>198.97</v>
      </c>
      <c r="H106" s="5"/>
    </row>
    <row r="107" spans="2:8" ht="15" customHeight="1">
      <c r="B107" s="34" t="s">
        <v>83</v>
      </c>
      <c r="C107" s="326" t="s">
        <v>205</v>
      </c>
      <c r="D107" s="327"/>
      <c r="E107" s="80">
        <v>1.389E-2</v>
      </c>
      <c r="F107" s="38">
        <f t="shared" si="7"/>
        <v>24.87</v>
      </c>
      <c r="H107" s="5"/>
    </row>
    <row r="108" spans="2:8" ht="15" customHeight="1">
      <c r="B108" s="34" t="s">
        <v>86</v>
      </c>
      <c r="C108" s="290" t="s">
        <v>206</v>
      </c>
      <c r="D108" s="292"/>
      <c r="E108" s="80">
        <v>2.1000000000000001E-4</v>
      </c>
      <c r="F108" s="38">
        <f t="shared" si="7"/>
        <v>0.38</v>
      </c>
      <c r="H108" s="5"/>
    </row>
    <row r="109" spans="2:8" ht="15" customHeight="1">
      <c r="B109" s="34" t="s">
        <v>88</v>
      </c>
      <c r="C109" s="290" t="s">
        <v>207</v>
      </c>
      <c r="D109" s="292"/>
      <c r="E109" s="80">
        <v>2.7799999999999999E-3</v>
      </c>
      <c r="F109" s="38">
        <f t="shared" si="7"/>
        <v>4.9800000000000004</v>
      </c>
      <c r="H109" s="5"/>
    </row>
    <row r="110" spans="2:8" ht="15" customHeight="1">
      <c r="B110" s="34" t="s">
        <v>113</v>
      </c>
      <c r="C110" s="290" t="s">
        <v>208</v>
      </c>
      <c r="D110" s="292"/>
      <c r="E110" s="80">
        <v>3.3300000000000001E-3</v>
      </c>
      <c r="F110" s="38">
        <f t="shared" si="7"/>
        <v>5.96</v>
      </c>
      <c r="H110" s="5"/>
    </row>
    <row r="111" spans="2:8" ht="15" customHeight="1">
      <c r="B111" s="102" t="s">
        <v>116</v>
      </c>
      <c r="C111" s="322" t="s">
        <v>126</v>
      </c>
      <c r="D111" s="323"/>
      <c r="E111" s="80">
        <v>0</v>
      </c>
      <c r="F111" s="38">
        <f t="shared" si="7"/>
        <v>0</v>
      </c>
      <c r="H111" s="5"/>
    </row>
    <row r="112" spans="2:8" ht="15" customHeight="1">
      <c r="B112" s="293" t="s">
        <v>183</v>
      </c>
      <c r="C112" s="294"/>
      <c r="D112" s="295"/>
      <c r="E112" s="79">
        <f>SUM(E106:E111)</f>
        <v>0.13131999999999999</v>
      </c>
      <c r="F112" s="73">
        <f>SUM(F106:F111)</f>
        <v>235.16</v>
      </c>
      <c r="H112" s="5"/>
    </row>
    <row r="113" spans="2:8" ht="15" customHeight="1">
      <c r="B113" s="102" t="s">
        <v>122</v>
      </c>
      <c r="C113" s="326" t="s">
        <v>209</v>
      </c>
      <c r="D113" s="327"/>
      <c r="E113" s="78">
        <f>E74*E112</f>
        <v>4.743E-2</v>
      </c>
      <c r="F113" s="76">
        <f>E74*F112</f>
        <v>84.94</v>
      </c>
      <c r="H113" s="5"/>
    </row>
    <row r="114" spans="2:8" ht="15" customHeight="1">
      <c r="B114" s="293" t="s">
        <v>57</v>
      </c>
      <c r="C114" s="294"/>
      <c r="D114" s="295"/>
      <c r="E114" s="79">
        <f>SUM(E112:E113)</f>
        <v>0.17874999999999999</v>
      </c>
      <c r="F114" s="69">
        <f>SUM(F112:F113)</f>
        <v>320.10000000000002</v>
      </c>
      <c r="H114" s="5"/>
    </row>
    <row r="115" spans="2:8" ht="15" customHeight="1">
      <c r="H115" s="5"/>
    </row>
    <row r="116" spans="2:8" ht="15" customHeight="1">
      <c r="B116" s="293" t="s">
        <v>210</v>
      </c>
      <c r="C116" s="295"/>
      <c r="D116" s="293" t="s">
        <v>211</v>
      </c>
      <c r="E116" s="294"/>
      <c r="F116" s="295"/>
      <c r="H116" s="5"/>
    </row>
    <row r="117" spans="2:8" ht="15" customHeight="1">
      <c r="B117" s="101">
        <v>4</v>
      </c>
      <c r="C117" s="324" t="s">
        <v>212</v>
      </c>
      <c r="D117" s="325"/>
      <c r="E117" s="87" t="s">
        <v>166</v>
      </c>
      <c r="F117" s="68" t="s">
        <v>108</v>
      </c>
      <c r="H117" s="5"/>
    </row>
    <row r="118" spans="2:8" ht="15" customHeight="1">
      <c r="B118" s="34" t="s">
        <v>165</v>
      </c>
      <c r="C118" s="290" t="str">
        <f>D64</f>
        <v>Encargos Previdenciários e FGTS</v>
      </c>
      <c r="D118" s="292"/>
      <c r="E118" s="90">
        <f>E74</f>
        <v>0.36120000000000002</v>
      </c>
      <c r="F118" s="38">
        <f>F74</f>
        <v>646.82000000000005</v>
      </c>
      <c r="H118" s="5"/>
    </row>
    <row r="119" spans="2:8" ht="15" customHeight="1">
      <c r="B119" s="34" t="s">
        <v>179</v>
      </c>
      <c r="C119" s="326" t="str">
        <f>D78</f>
        <v>13° Salário e Adicional de Férias</v>
      </c>
      <c r="D119" s="327"/>
      <c r="E119" s="90">
        <f>E84</f>
        <v>0.15124000000000001</v>
      </c>
      <c r="F119" s="38">
        <f>F84</f>
        <v>270.83999999999997</v>
      </c>
      <c r="H119" s="5"/>
    </row>
    <row r="120" spans="2:8" ht="15" customHeight="1">
      <c r="B120" s="34" t="s">
        <v>187</v>
      </c>
      <c r="C120" s="290" t="str">
        <f>D86</f>
        <v>Afastamento Maternidade</v>
      </c>
      <c r="D120" s="292"/>
      <c r="E120" s="90">
        <f>E90</f>
        <v>3.9100000000000003E-3</v>
      </c>
      <c r="F120" s="38">
        <f>F90</f>
        <v>7</v>
      </c>
      <c r="H120" s="5"/>
    </row>
    <row r="121" spans="2:8" ht="15" customHeight="1">
      <c r="B121" s="34" t="s">
        <v>191</v>
      </c>
      <c r="C121" s="290" t="str">
        <f>D92</f>
        <v>Provisão para Rescisão</v>
      </c>
      <c r="D121" s="292"/>
      <c r="E121" s="90">
        <f>E100</f>
        <v>7.0959999999999995E-2</v>
      </c>
      <c r="F121" s="38">
        <f>F100</f>
        <v>127.08</v>
      </c>
      <c r="H121" s="5"/>
    </row>
    <row r="122" spans="2:8" ht="15" customHeight="1">
      <c r="B122" s="34" t="s">
        <v>202</v>
      </c>
      <c r="C122" s="290" t="str">
        <f>D104</f>
        <v>Custo de Reposição do Profissional Ausente</v>
      </c>
      <c r="D122" s="292"/>
      <c r="E122" s="90">
        <f>E114</f>
        <v>0.17874999999999999</v>
      </c>
      <c r="F122" s="38">
        <f>F114</f>
        <v>320.10000000000002</v>
      </c>
      <c r="H122" s="5"/>
    </row>
    <row r="123" spans="2:8" ht="15" customHeight="1">
      <c r="B123" s="102" t="s">
        <v>213</v>
      </c>
      <c r="C123" s="322" t="s">
        <v>126</v>
      </c>
      <c r="D123" s="323"/>
      <c r="E123" s="90">
        <v>0</v>
      </c>
      <c r="F123" s="38">
        <v>0</v>
      </c>
      <c r="H123" s="5"/>
    </row>
    <row r="124" spans="2:8" ht="15" customHeight="1">
      <c r="B124" s="293" t="s">
        <v>57</v>
      </c>
      <c r="C124" s="294"/>
      <c r="D124" s="295"/>
      <c r="E124" s="89">
        <f>SUM(E118:E123)</f>
        <v>0.76605999999999996</v>
      </c>
      <c r="F124" s="69">
        <f>SUM(F118:F123)</f>
        <v>1371.84</v>
      </c>
      <c r="H124" s="5"/>
    </row>
    <row r="125" spans="2:8" ht="15" customHeight="1">
      <c r="H125" s="5"/>
    </row>
    <row r="126" spans="2:8" ht="15" customHeight="1">
      <c r="B126" s="293" t="s">
        <v>214</v>
      </c>
      <c r="C126" s="295"/>
      <c r="D126" s="293" t="s">
        <v>215</v>
      </c>
      <c r="E126" s="294"/>
      <c r="F126" s="295"/>
      <c r="H126" s="5"/>
    </row>
    <row r="127" spans="2:8" ht="15" customHeight="1">
      <c r="B127" s="101">
        <v>5</v>
      </c>
      <c r="C127" s="293" t="s">
        <v>216</v>
      </c>
      <c r="D127" s="295"/>
      <c r="E127" s="87" t="s">
        <v>166</v>
      </c>
      <c r="F127" s="68" t="s">
        <v>108</v>
      </c>
      <c r="H127" s="5"/>
    </row>
    <row r="128" spans="2:8" ht="15" customHeight="1">
      <c r="B128" s="34" t="s">
        <v>78</v>
      </c>
      <c r="C128" s="315" t="s">
        <v>217</v>
      </c>
      <c r="D128" s="316"/>
      <c r="E128" s="84">
        <v>5.0000000000000001E-3</v>
      </c>
      <c r="F128" s="40">
        <f>E128*F148</f>
        <v>18.27</v>
      </c>
      <c r="H128" s="5"/>
    </row>
    <row r="129" spans="2:8" ht="15" customHeight="1">
      <c r="B129" s="34" t="s">
        <v>83</v>
      </c>
      <c r="C129" s="104" t="s">
        <v>218</v>
      </c>
      <c r="D129" s="104"/>
      <c r="E129" s="84">
        <v>5.0000000000000001E-3</v>
      </c>
      <c r="F129" s="40">
        <f>E129*(F148+F128)</f>
        <v>18.36</v>
      </c>
      <c r="H129" s="5"/>
    </row>
    <row r="130" spans="2:8" ht="15" customHeight="1">
      <c r="B130" s="303" t="s">
        <v>219</v>
      </c>
      <c r="C130" s="304"/>
      <c r="D130" s="305"/>
      <c r="E130" s="79">
        <f>SUM(E128:E129)</f>
        <v>0.01</v>
      </c>
      <c r="F130" s="69">
        <f>SUM(F128:F129)</f>
        <v>36.630000000000003</v>
      </c>
      <c r="H130" s="5"/>
    </row>
    <row r="131" spans="2:8" ht="15" customHeight="1">
      <c r="B131" s="317" t="s">
        <v>86</v>
      </c>
      <c r="C131" s="290" t="s">
        <v>220</v>
      </c>
      <c r="D131" s="291"/>
      <c r="E131" s="291"/>
      <c r="F131" s="292"/>
      <c r="H131" s="5"/>
    </row>
    <row r="132" spans="2:8" ht="15" customHeight="1">
      <c r="B132" s="318"/>
      <c r="C132" s="320" t="s">
        <v>221</v>
      </c>
      <c r="D132" s="42" t="s">
        <v>222</v>
      </c>
      <c r="E132" s="80">
        <v>7.5999999999999998E-2</v>
      </c>
      <c r="F132" s="41">
        <f>(($F$148+$F$128+$F$129)/(1-$E$136))*E132</f>
        <v>327.08</v>
      </c>
      <c r="H132" s="5"/>
    </row>
    <row r="133" spans="2:8" ht="15" customHeight="1">
      <c r="B133" s="318"/>
      <c r="C133" s="321"/>
      <c r="D133" s="42" t="s">
        <v>223</v>
      </c>
      <c r="E133" s="80">
        <v>1.6500000000000001E-2</v>
      </c>
      <c r="F133" s="41">
        <f t="shared" ref="F133:F135" si="8">(($F$148+$F$128+$F$129)/(1-$E$136))*E133</f>
        <v>71.010000000000005</v>
      </c>
      <c r="H133" s="5"/>
    </row>
    <row r="134" spans="2:8" ht="15" customHeight="1">
      <c r="B134" s="318"/>
      <c r="C134" s="43" t="s">
        <v>224</v>
      </c>
      <c r="D134" s="42" t="s">
        <v>225</v>
      </c>
      <c r="E134" s="80">
        <v>0.05</v>
      </c>
      <c r="F134" s="41">
        <f t="shared" si="8"/>
        <v>215.19</v>
      </c>
      <c r="H134" s="5"/>
    </row>
    <row r="135" spans="2:8" ht="15" customHeight="1">
      <c r="B135" s="319"/>
      <c r="C135" s="43" t="s">
        <v>226</v>
      </c>
      <c r="D135" s="72"/>
      <c r="E135" s="80">
        <v>0</v>
      </c>
      <c r="F135" s="41">
        <f t="shared" si="8"/>
        <v>0</v>
      </c>
      <c r="H135" s="5"/>
    </row>
    <row r="136" spans="2:8" ht="15" customHeight="1">
      <c r="B136" s="303" t="s">
        <v>227</v>
      </c>
      <c r="C136" s="304"/>
      <c r="D136" s="305"/>
      <c r="E136" s="79">
        <f>SUM(E132:E135)</f>
        <v>0.14249999999999999</v>
      </c>
      <c r="F136" s="69">
        <f>SUM(F132:F135)</f>
        <v>613.28</v>
      </c>
      <c r="H136" s="5"/>
    </row>
    <row r="137" spans="2:8" ht="15" customHeight="1">
      <c r="B137" s="293" t="s">
        <v>57</v>
      </c>
      <c r="C137" s="294"/>
      <c r="D137" s="295"/>
      <c r="E137" s="79">
        <f>E130+E136</f>
        <v>0.1525</v>
      </c>
      <c r="F137" s="71">
        <f>SUM(F136,F130)</f>
        <v>649.91</v>
      </c>
      <c r="H137" s="5"/>
    </row>
    <row r="138" spans="2:8" ht="15" customHeight="1">
      <c r="B138" s="39" t="s">
        <v>145</v>
      </c>
      <c r="C138" s="306" t="s">
        <v>228</v>
      </c>
      <c r="D138" s="307"/>
      <c r="E138" s="307"/>
      <c r="F138" s="308"/>
      <c r="H138" s="5"/>
    </row>
    <row r="139" spans="2:8" ht="15" customHeight="1">
      <c r="B139" s="39" t="s">
        <v>148</v>
      </c>
      <c r="C139" s="306" t="s">
        <v>229</v>
      </c>
      <c r="D139" s="307"/>
      <c r="E139" s="307"/>
      <c r="F139" s="308"/>
      <c r="H139" s="5"/>
    </row>
    <row r="140" spans="2:8" ht="25.5" customHeight="1">
      <c r="B140" s="39" t="s">
        <v>230</v>
      </c>
      <c r="C140" s="309" t="s">
        <v>231</v>
      </c>
      <c r="D140" s="310"/>
      <c r="E140" s="310"/>
      <c r="F140" s="311"/>
      <c r="H140" s="5"/>
    </row>
    <row r="141" spans="2:8" ht="15" customHeight="1">
      <c r="H141" s="5"/>
    </row>
    <row r="142" spans="2:8" ht="15" customHeight="1">
      <c r="B142" s="293" t="s">
        <v>232</v>
      </c>
      <c r="C142" s="294"/>
      <c r="D142" s="294"/>
      <c r="E142" s="294"/>
      <c r="F142" s="295"/>
      <c r="H142" s="5"/>
    </row>
    <row r="143" spans="2:8" ht="15" customHeight="1">
      <c r="B143" s="300" t="s">
        <v>233</v>
      </c>
      <c r="C143" s="301"/>
      <c r="D143" s="301"/>
      <c r="E143" s="302"/>
      <c r="F143" s="65" t="s">
        <v>234</v>
      </c>
      <c r="H143" s="5"/>
    </row>
    <row r="144" spans="2:8" ht="15" customHeight="1">
      <c r="B144" s="34" t="s">
        <v>78</v>
      </c>
      <c r="C144" s="290" t="s">
        <v>235</v>
      </c>
      <c r="D144" s="291"/>
      <c r="E144" s="292"/>
      <c r="F144" s="38">
        <f>F37</f>
        <v>1790.77</v>
      </c>
      <c r="H144" s="5"/>
    </row>
    <row r="145" spans="2:8" ht="15" customHeight="1">
      <c r="B145" s="34" t="s">
        <v>83</v>
      </c>
      <c r="C145" s="290" t="s">
        <v>236</v>
      </c>
      <c r="D145" s="291"/>
      <c r="E145" s="292"/>
      <c r="F145" s="38">
        <f>F47</f>
        <v>239.64</v>
      </c>
      <c r="H145" s="5"/>
    </row>
    <row r="146" spans="2:8" ht="15" customHeight="1">
      <c r="B146" s="34" t="s">
        <v>86</v>
      </c>
      <c r="C146" s="290" t="s">
        <v>237</v>
      </c>
      <c r="D146" s="291"/>
      <c r="E146" s="292"/>
      <c r="F146" s="38">
        <f>F60</f>
        <v>251.56</v>
      </c>
      <c r="H146" s="5"/>
    </row>
    <row r="147" spans="2:8" ht="15" customHeight="1">
      <c r="B147" s="34" t="s">
        <v>88</v>
      </c>
      <c r="C147" s="290" t="s">
        <v>212</v>
      </c>
      <c r="D147" s="291"/>
      <c r="E147" s="292"/>
      <c r="F147" s="38">
        <f>F124</f>
        <v>1371.84</v>
      </c>
      <c r="H147" s="5"/>
    </row>
    <row r="148" spans="2:8" ht="15" customHeight="1">
      <c r="B148" s="293" t="s">
        <v>238</v>
      </c>
      <c r="C148" s="294"/>
      <c r="D148" s="294"/>
      <c r="E148" s="295"/>
      <c r="F148" s="73">
        <f>SUM(F144:F147)</f>
        <v>3653.81</v>
      </c>
      <c r="H148" s="5"/>
    </row>
    <row r="149" spans="2:8" ht="15" customHeight="1">
      <c r="B149" s="34" t="s">
        <v>113</v>
      </c>
      <c r="C149" s="290" t="s">
        <v>239</v>
      </c>
      <c r="D149" s="291"/>
      <c r="E149" s="292"/>
      <c r="F149" s="38">
        <f>F137</f>
        <v>649.91</v>
      </c>
      <c r="H149" s="5"/>
    </row>
    <row r="150" spans="2:8" ht="15" customHeight="1">
      <c r="B150" s="293" t="s">
        <v>240</v>
      </c>
      <c r="C150" s="294"/>
      <c r="D150" s="294"/>
      <c r="E150" s="295"/>
      <c r="F150" s="73">
        <f>SUM(F148:F149)</f>
        <v>4303.72</v>
      </c>
      <c r="H150" s="5"/>
    </row>
    <row r="151" spans="2:8" ht="15" customHeight="1">
      <c r="B151" s="472" t="s">
        <v>264</v>
      </c>
      <c r="C151" s="472"/>
      <c r="D151" s="472"/>
      <c r="E151" s="472"/>
      <c r="F151" s="110">
        <f>F150*E16</f>
        <v>4303.72</v>
      </c>
      <c r="H151" s="5"/>
    </row>
    <row r="152" spans="2:8" ht="15" customHeight="1">
      <c r="H152" s="5"/>
    </row>
    <row r="153" spans="2:8" ht="26.25" customHeight="1">
      <c r="B153" s="470" t="s">
        <v>151</v>
      </c>
      <c r="C153" s="470"/>
      <c r="D153" s="111" t="s">
        <v>152</v>
      </c>
      <c r="E153" s="470" t="s">
        <v>251</v>
      </c>
      <c r="F153" s="470"/>
      <c r="G153" s="112"/>
      <c r="H153" s="5"/>
    </row>
    <row r="154" spans="2:8" ht="31.5" customHeight="1">
      <c r="B154" s="470" t="s">
        <v>253</v>
      </c>
      <c r="C154" s="470"/>
      <c r="D154" s="113">
        <v>60</v>
      </c>
      <c r="E154" s="471">
        <f>F151*D154</f>
        <v>258223.2</v>
      </c>
      <c r="F154" s="471"/>
      <c r="H154" s="5"/>
    </row>
    <row r="155" spans="2:8" ht="35.25" customHeight="1">
      <c r="B155" s="470" t="s">
        <v>263</v>
      </c>
      <c r="C155" s="470"/>
      <c r="D155" s="113">
        <v>12</v>
      </c>
      <c r="E155" s="471">
        <f>F151*D155</f>
        <v>51644.639999999999</v>
      </c>
      <c r="F155" s="471"/>
      <c r="H155" s="5"/>
    </row>
  </sheetData>
  <mergeCells count="150">
    <mergeCell ref="E2:F2"/>
    <mergeCell ref="B3:F3"/>
    <mergeCell ref="B4:F4"/>
    <mergeCell ref="E5:F5"/>
    <mergeCell ref="E6:F6"/>
    <mergeCell ref="B7:F7"/>
    <mergeCell ref="E12:F12"/>
    <mergeCell ref="C13:D13"/>
    <mergeCell ref="E13:F13"/>
    <mergeCell ref="B14:F14"/>
    <mergeCell ref="B15:C15"/>
    <mergeCell ref="E15:F15"/>
    <mergeCell ref="B8:C8"/>
    <mergeCell ref="E8:F8"/>
    <mergeCell ref="B9:F9"/>
    <mergeCell ref="C10:D10"/>
    <mergeCell ref="E10:F10"/>
    <mergeCell ref="C11:D11"/>
    <mergeCell ref="E11:F11"/>
    <mergeCell ref="C22:E22"/>
    <mergeCell ref="C23:E23"/>
    <mergeCell ref="C24:E24"/>
    <mergeCell ref="C25:E25"/>
    <mergeCell ref="C26:F26"/>
    <mergeCell ref="B27:C27"/>
    <mergeCell ref="D27:F27"/>
    <mergeCell ref="B16:C16"/>
    <mergeCell ref="E16:F16"/>
    <mergeCell ref="B18:F18"/>
    <mergeCell ref="B19:F19"/>
    <mergeCell ref="B20:F20"/>
    <mergeCell ref="B21:F21"/>
    <mergeCell ref="C41:E41"/>
    <mergeCell ref="C42:E42"/>
    <mergeCell ref="C43:E43"/>
    <mergeCell ref="C44:E44"/>
    <mergeCell ref="C45:E45"/>
    <mergeCell ref="C46:E46"/>
    <mergeCell ref="C28:E28"/>
    <mergeCell ref="C36:D36"/>
    <mergeCell ref="B37:D37"/>
    <mergeCell ref="B39:C39"/>
    <mergeCell ref="D39:F39"/>
    <mergeCell ref="C40:E40"/>
    <mergeCell ref="C55:E55"/>
    <mergeCell ref="C56:E56"/>
    <mergeCell ref="C57:E57"/>
    <mergeCell ref="C58:E58"/>
    <mergeCell ref="C59:E59"/>
    <mergeCell ref="B60:E60"/>
    <mergeCell ref="B47:E47"/>
    <mergeCell ref="C48:F48"/>
    <mergeCell ref="B49:B52"/>
    <mergeCell ref="C49:F52"/>
    <mergeCell ref="B54:C54"/>
    <mergeCell ref="D54:F54"/>
    <mergeCell ref="C66:D66"/>
    <mergeCell ref="C67:D67"/>
    <mergeCell ref="C68:D68"/>
    <mergeCell ref="C69:D69"/>
    <mergeCell ref="C70:D70"/>
    <mergeCell ref="C71:D71"/>
    <mergeCell ref="C61:F61"/>
    <mergeCell ref="B63:C63"/>
    <mergeCell ref="D63:F63"/>
    <mergeCell ref="B64:C64"/>
    <mergeCell ref="D64:F64"/>
    <mergeCell ref="C65:D65"/>
    <mergeCell ref="C79:D79"/>
    <mergeCell ref="C80:D80"/>
    <mergeCell ref="C81:D81"/>
    <mergeCell ref="B82:D82"/>
    <mergeCell ref="C83:D83"/>
    <mergeCell ref="B84:D84"/>
    <mergeCell ref="C72:D72"/>
    <mergeCell ref="C73:D73"/>
    <mergeCell ref="B74:D74"/>
    <mergeCell ref="C75:F75"/>
    <mergeCell ref="C76:F76"/>
    <mergeCell ref="B78:C78"/>
    <mergeCell ref="D78:F78"/>
    <mergeCell ref="B92:C92"/>
    <mergeCell ref="D92:F92"/>
    <mergeCell ref="C93:D93"/>
    <mergeCell ref="C94:D94"/>
    <mergeCell ref="C95:D95"/>
    <mergeCell ref="C96:D96"/>
    <mergeCell ref="B86:C86"/>
    <mergeCell ref="D86:F86"/>
    <mergeCell ref="C87:D87"/>
    <mergeCell ref="C88:D88"/>
    <mergeCell ref="C89:D89"/>
    <mergeCell ref="B90:D90"/>
    <mergeCell ref="B104:C104"/>
    <mergeCell ref="D104:F104"/>
    <mergeCell ref="C105:D105"/>
    <mergeCell ref="C106:D106"/>
    <mergeCell ref="C107:D107"/>
    <mergeCell ref="C108:D108"/>
    <mergeCell ref="C97:D97"/>
    <mergeCell ref="C98:D98"/>
    <mergeCell ref="C99:D99"/>
    <mergeCell ref="B100:D100"/>
    <mergeCell ref="C101:F101"/>
    <mergeCell ref="C102:F102"/>
    <mergeCell ref="B116:C116"/>
    <mergeCell ref="D116:F116"/>
    <mergeCell ref="C117:D117"/>
    <mergeCell ref="C118:D118"/>
    <mergeCell ref="C119:D119"/>
    <mergeCell ref="C120:D120"/>
    <mergeCell ref="C109:D109"/>
    <mergeCell ref="C110:D110"/>
    <mergeCell ref="C111:D111"/>
    <mergeCell ref="B112:D112"/>
    <mergeCell ref="C113:D113"/>
    <mergeCell ref="B114:D114"/>
    <mergeCell ref="C127:D127"/>
    <mergeCell ref="C128:D128"/>
    <mergeCell ref="B130:D130"/>
    <mergeCell ref="B131:B135"/>
    <mergeCell ref="C131:F131"/>
    <mergeCell ref="C132:C133"/>
    <mergeCell ref="C121:D121"/>
    <mergeCell ref="C122:D122"/>
    <mergeCell ref="C123:D123"/>
    <mergeCell ref="B124:D124"/>
    <mergeCell ref="B126:C126"/>
    <mergeCell ref="D126:F126"/>
    <mergeCell ref="B143:E143"/>
    <mergeCell ref="C144:E144"/>
    <mergeCell ref="C145:E145"/>
    <mergeCell ref="C146:E146"/>
    <mergeCell ref="C147:E147"/>
    <mergeCell ref="B148:E148"/>
    <mergeCell ref="B136:D136"/>
    <mergeCell ref="B137:D137"/>
    <mergeCell ref="C138:F138"/>
    <mergeCell ref="C139:F139"/>
    <mergeCell ref="C140:F140"/>
    <mergeCell ref="B142:F142"/>
    <mergeCell ref="B155:C155"/>
    <mergeCell ref="E155:F155"/>
    <mergeCell ref="C149:E149"/>
    <mergeCell ref="B150:E150"/>
    <mergeCell ref="B151:E151"/>
    <mergeCell ref="B153:C153"/>
    <mergeCell ref="E153:F153"/>
    <mergeCell ref="B154:C154"/>
    <mergeCell ref="E154:F154"/>
  </mergeCells>
  <pageMargins left="0.51181102362204722" right="0.51181102362204722" top="0.78740157480314965" bottom="0.78740157480314965" header="0.31496062992125984" footer="0.31496062992125984"/>
  <pageSetup paperSize="9" scale="75" orientation="portrait" r:id="rId1"/>
  <rowBreaks count="1" manualBreakCount="1">
    <brk id="90" max="16383" man="1"/>
  </rowBreaks>
  <colBreaks count="1" manualBreakCount="1">
    <brk id="7" max="1048575" man="1"/>
  </colBreaks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C00-000000000000}">
          <x14:formula1>
            <xm:f>'#listas#'!$E$1:$E$22</xm:f>
          </x14:formula1>
          <xm:sqref>C2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>
  <dimension ref="B1:H157"/>
  <sheetViews>
    <sheetView showGridLines="0" view="pageBreakPreview" topLeftCell="A16" zoomScaleNormal="115" zoomScaleSheetLayoutView="100" workbookViewId="0">
      <selection activeCell="C49" sqref="C49:F52"/>
    </sheetView>
  </sheetViews>
  <sheetFormatPr defaultColWidth="9.140625" defaultRowHeight="15" customHeight="1"/>
  <cols>
    <col min="1" max="1" width="4.42578125" style="5" customWidth="1"/>
    <col min="2" max="2" width="12.85546875" style="44" customWidth="1"/>
    <col min="3" max="3" width="43.42578125" style="44" customWidth="1"/>
    <col min="4" max="4" width="18.85546875" style="44" bestFit="1" customWidth="1"/>
    <col min="5" max="5" width="10.140625" style="85" bestFit="1" customWidth="1"/>
    <col min="6" max="6" width="11.7109375" style="45" customWidth="1"/>
    <col min="7" max="7" width="3.28515625" style="5" customWidth="1"/>
    <col min="8" max="8" width="12.140625" style="52" customWidth="1"/>
    <col min="9" max="16384" width="9.140625" style="5"/>
  </cols>
  <sheetData>
    <row r="1" spans="2:8" ht="15" customHeight="1">
      <c r="H1" s="47"/>
    </row>
    <row r="2" spans="2:8" s="49" customFormat="1" ht="15" customHeight="1">
      <c r="B2" s="8" t="s">
        <v>55</v>
      </c>
      <c r="C2" s="50" t="s">
        <v>21</v>
      </c>
      <c r="D2" s="8" t="s">
        <v>59</v>
      </c>
      <c r="E2" s="462"/>
      <c r="F2" s="462"/>
      <c r="H2" s="51"/>
    </row>
    <row r="3" spans="2:8" ht="21">
      <c r="B3" s="466"/>
      <c r="C3" s="466"/>
      <c r="D3" s="466"/>
      <c r="E3" s="466"/>
      <c r="F3" s="466"/>
    </row>
    <row r="4" spans="2:8" ht="15" customHeight="1">
      <c r="B4" s="362" t="s">
        <v>60</v>
      </c>
      <c r="C4" s="362"/>
      <c r="D4" s="362"/>
      <c r="E4" s="362"/>
      <c r="F4" s="362"/>
    </row>
    <row r="5" spans="2:8" ht="15" customHeight="1">
      <c r="B5" s="34" t="s">
        <v>62</v>
      </c>
      <c r="C5" s="30"/>
      <c r="D5" s="103" t="s">
        <v>63</v>
      </c>
      <c r="E5" s="468"/>
      <c r="F5" s="468"/>
    </row>
    <row r="6" spans="2:8" ht="15" customHeight="1">
      <c r="B6" s="34" t="s">
        <v>65</v>
      </c>
      <c r="C6" s="31"/>
      <c r="D6" s="34" t="s">
        <v>66</v>
      </c>
      <c r="E6" s="468"/>
      <c r="F6" s="468"/>
    </row>
    <row r="7" spans="2:8" ht="15" customHeight="1">
      <c r="B7" s="362" t="s">
        <v>67</v>
      </c>
      <c r="C7" s="362"/>
      <c r="D7" s="362"/>
      <c r="E7" s="362"/>
      <c r="F7" s="362"/>
    </row>
    <row r="8" spans="2:8" ht="15" customHeight="1">
      <c r="B8" s="459" t="s">
        <v>69</v>
      </c>
      <c r="C8" s="460"/>
      <c r="D8" s="34" t="s">
        <v>70</v>
      </c>
      <c r="E8" s="354"/>
      <c r="F8" s="355"/>
    </row>
    <row r="9" spans="2:8" ht="15" customHeight="1">
      <c r="B9" s="362" t="s">
        <v>75</v>
      </c>
      <c r="C9" s="362"/>
      <c r="D9" s="362"/>
      <c r="E9" s="362"/>
      <c r="F9" s="362"/>
    </row>
    <row r="10" spans="2:8" ht="15" customHeight="1">
      <c r="B10" s="34" t="s">
        <v>78</v>
      </c>
      <c r="C10" s="290" t="s">
        <v>79</v>
      </c>
      <c r="D10" s="291"/>
      <c r="E10" s="461"/>
      <c r="F10" s="461"/>
    </row>
    <row r="11" spans="2:8" ht="15" customHeight="1">
      <c r="B11" s="34" t="s">
        <v>83</v>
      </c>
      <c r="C11" s="290" t="s">
        <v>84</v>
      </c>
      <c r="D11" s="291"/>
      <c r="E11" s="300" t="s">
        <v>281</v>
      </c>
      <c r="F11" s="302"/>
    </row>
    <row r="12" spans="2:8" ht="15" customHeight="1">
      <c r="B12" s="34" t="s">
        <v>86</v>
      </c>
      <c r="C12" s="53" t="s">
        <v>87</v>
      </c>
      <c r="D12" s="54"/>
      <c r="E12" s="300" t="s">
        <v>282</v>
      </c>
      <c r="F12" s="302"/>
    </row>
    <row r="13" spans="2:8" ht="15" customHeight="1">
      <c r="B13" s="34" t="s">
        <v>88</v>
      </c>
      <c r="C13" s="322" t="s">
        <v>89</v>
      </c>
      <c r="D13" s="328"/>
      <c r="E13" s="300">
        <v>12</v>
      </c>
      <c r="F13" s="302"/>
    </row>
    <row r="14" spans="2:8" ht="15" customHeight="1">
      <c r="B14" s="362" t="s">
        <v>90</v>
      </c>
      <c r="C14" s="362"/>
      <c r="D14" s="362"/>
      <c r="E14" s="362"/>
      <c r="F14" s="362"/>
    </row>
    <row r="15" spans="2:8" ht="15" customHeight="1">
      <c r="B15" s="451" t="s">
        <v>91</v>
      </c>
      <c r="C15" s="451"/>
      <c r="D15" s="32" t="s">
        <v>92</v>
      </c>
      <c r="E15" s="452" t="s">
        <v>243</v>
      </c>
      <c r="F15" s="453"/>
    </row>
    <row r="16" spans="2:8" ht="15" customHeight="1">
      <c r="B16" s="455" t="s">
        <v>271</v>
      </c>
      <c r="C16" s="455"/>
      <c r="D16" s="9" t="s">
        <v>95</v>
      </c>
      <c r="E16" s="456">
        <v>1</v>
      </c>
      <c r="F16" s="456"/>
      <c r="H16" s="5"/>
    </row>
    <row r="17" spans="2:8" ht="15" customHeight="1">
      <c r="H17" s="5"/>
    </row>
    <row r="18" spans="2:8" ht="12.75" customHeight="1">
      <c r="B18" s="450"/>
      <c r="C18" s="450"/>
      <c r="D18" s="450"/>
      <c r="E18" s="450"/>
      <c r="F18" s="450"/>
      <c r="H18" s="5"/>
    </row>
    <row r="19" spans="2:8" ht="15" customHeight="1">
      <c r="B19" s="362" t="s">
        <v>71</v>
      </c>
      <c r="C19" s="362"/>
      <c r="D19" s="362"/>
      <c r="E19" s="362"/>
      <c r="F19" s="362"/>
      <c r="H19" s="5"/>
    </row>
    <row r="20" spans="2:8" ht="15" customHeight="1">
      <c r="B20" s="362" t="s">
        <v>96</v>
      </c>
      <c r="C20" s="362"/>
      <c r="D20" s="362"/>
      <c r="E20" s="362"/>
      <c r="F20" s="362"/>
      <c r="H20" s="5"/>
    </row>
    <row r="21" spans="2:8" ht="15" customHeight="1">
      <c r="B21" s="437" t="s">
        <v>98</v>
      </c>
      <c r="C21" s="437"/>
      <c r="D21" s="437"/>
      <c r="E21" s="437"/>
      <c r="F21" s="437"/>
      <c r="H21" s="5"/>
    </row>
    <row r="22" spans="2:8" ht="15" customHeight="1">
      <c r="B22" s="34">
        <v>1</v>
      </c>
      <c r="C22" s="449" t="s">
        <v>99</v>
      </c>
      <c r="D22" s="449"/>
      <c r="E22" s="449"/>
      <c r="F22" s="56"/>
      <c r="H22" s="5"/>
    </row>
    <row r="23" spans="2:8" ht="15" customHeight="1">
      <c r="B23" s="34">
        <v>2</v>
      </c>
      <c r="C23" s="437" t="s">
        <v>100</v>
      </c>
      <c r="D23" s="437"/>
      <c r="E23" s="437"/>
      <c r="F23" s="57">
        <v>969.3</v>
      </c>
      <c r="H23" s="5"/>
    </row>
    <row r="24" spans="2:8" ht="15" customHeight="1">
      <c r="B24" s="34">
        <v>3</v>
      </c>
      <c r="C24" s="437" t="s">
        <v>101</v>
      </c>
      <c r="D24" s="437"/>
      <c r="E24" s="437"/>
      <c r="F24" s="56"/>
      <c r="H24" s="5"/>
    </row>
    <row r="25" spans="2:8" ht="15" customHeight="1">
      <c r="B25" s="34">
        <v>4</v>
      </c>
      <c r="C25" s="437" t="s">
        <v>102</v>
      </c>
      <c r="D25" s="437"/>
      <c r="E25" s="437"/>
      <c r="F25" s="58">
        <v>42736</v>
      </c>
      <c r="H25" s="5"/>
    </row>
    <row r="26" spans="2:8" ht="15" customHeight="1">
      <c r="B26" s="37" t="s">
        <v>103</v>
      </c>
      <c r="C26" s="438" t="s">
        <v>104</v>
      </c>
      <c r="D26" s="438"/>
      <c r="E26" s="438"/>
      <c r="F26" s="438"/>
      <c r="H26" s="5"/>
    </row>
    <row r="27" spans="2:8" ht="15" customHeight="1">
      <c r="B27" s="362" t="s">
        <v>105</v>
      </c>
      <c r="C27" s="362"/>
      <c r="D27" s="362" t="s">
        <v>106</v>
      </c>
      <c r="E27" s="362"/>
      <c r="F27" s="362"/>
      <c r="H27" s="5"/>
    </row>
    <row r="28" spans="2:8" ht="15" customHeight="1">
      <c r="B28" s="101">
        <v>1</v>
      </c>
      <c r="C28" s="362" t="s">
        <v>107</v>
      </c>
      <c r="D28" s="362"/>
      <c r="E28" s="362"/>
      <c r="F28" s="68" t="s">
        <v>108</v>
      </c>
      <c r="H28" s="5"/>
    </row>
    <row r="29" spans="2:8" ht="15" customHeight="1">
      <c r="B29" s="34" t="s">
        <v>78</v>
      </c>
      <c r="C29" s="59" t="s">
        <v>109</v>
      </c>
      <c r="D29" s="60"/>
      <c r="E29" s="80"/>
      <c r="F29" s="61">
        <f>F23</f>
        <v>969.3</v>
      </c>
      <c r="H29" s="5"/>
    </row>
    <row r="30" spans="2:8" ht="15" customHeight="1">
      <c r="B30" s="34" t="s">
        <v>83</v>
      </c>
      <c r="C30" s="59" t="s">
        <v>110</v>
      </c>
      <c r="D30" s="60"/>
      <c r="E30" s="80"/>
      <c r="F30" s="61">
        <f t="shared" ref="F30:F36" si="0">$F$29*E30</f>
        <v>0</v>
      </c>
      <c r="H30" s="5"/>
    </row>
    <row r="31" spans="2:8" ht="15" customHeight="1">
      <c r="B31" s="34" t="s">
        <v>86</v>
      </c>
      <c r="C31" s="59" t="s">
        <v>111</v>
      </c>
      <c r="D31" s="60"/>
      <c r="E31" s="81">
        <v>0.2</v>
      </c>
      <c r="F31" s="61">
        <f t="shared" si="0"/>
        <v>193.86</v>
      </c>
      <c r="H31" s="5"/>
    </row>
    <row r="32" spans="2:8" ht="15" customHeight="1">
      <c r="B32" s="34" t="s">
        <v>88</v>
      </c>
      <c r="C32" s="59" t="s">
        <v>112</v>
      </c>
      <c r="D32" s="60"/>
      <c r="E32" s="80"/>
      <c r="F32" s="61">
        <f t="shared" si="0"/>
        <v>0</v>
      </c>
      <c r="H32" s="5"/>
    </row>
    <row r="33" spans="2:8" ht="15" customHeight="1">
      <c r="B33" s="34" t="s">
        <v>113</v>
      </c>
      <c r="C33" s="59" t="s">
        <v>114</v>
      </c>
      <c r="D33" s="60"/>
      <c r="E33" s="80"/>
      <c r="F33" s="61">
        <f t="shared" si="0"/>
        <v>0</v>
      </c>
      <c r="H33" s="5"/>
    </row>
    <row r="34" spans="2:8" ht="15" customHeight="1">
      <c r="B34" s="34" t="s">
        <v>116</v>
      </c>
      <c r="C34" s="59" t="s">
        <v>117</v>
      </c>
      <c r="D34" s="60"/>
      <c r="E34" s="80"/>
      <c r="F34" s="61">
        <f t="shared" si="0"/>
        <v>0</v>
      </c>
      <c r="H34" s="5"/>
    </row>
    <row r="35" spans="2:8" ht="15" customHeight="1">
      <c r="B35" s="34" t="s">
        <v>122</v>
      </c>
      <c r="C35" s="59" t="s">
        <v>123</v>
      </c>
      <c r="D35" s="60"/>
      <c r="E35" s="80"/>
      <c r="F35" s="61">
        <f t="shared" si="0"/>
        <v>0</v>
      </c>
      <c r="H35" s="5"/>
    </row>
    <row r="36" spans="2:8" ht="15" customHeight="1">
      <c r="B36" s="102" t="s">
        <v>125</v>
      </c>
      <c r="C36" s="290" t="s">
        <v>126</v>
      </c>
      <c r="D36" s="292"/>
      <c r="E36" s="81"/>
      <c r="F36" s="61">
        <f t="shared" si="0"/>
        <v>0</v>
      </c>
      <c r="H36" s="5"/>
    </row>
    <row r="37" spans="2:8" ht="15" customHeight="1">
      <c r="B37" s="293" t="s">
        <v>128</v>
      </c>
      <c r="C37" s="294"/>
      <c r="D37" s="295"/>
      <c r="E37" s="86">
        <f>SUM(E30:E36)</f>
        <v>0.2</v>
      </c>
      <c r="F37" s="69">
        <f>SUM(F29:F36)</f>
        <v>1163.1600000000001</v>
      </c>
      <c r="H37" s="5"/>
    </row>
    <row r="38" spans="2:8" ht="15" customHeight="1">
      <c r="H38" s="5"/>
    </row>
    <row r="39" spans="2:8" ht="15" customHeight="1">
      <c r="B39" s="362" t="s">
        <v>130</v>
      </c>
      <c r="C39" s="362"/>
      <c r="D39" s="362" t="s">
        <v>131</v>
      </c>
      <c r="E39" s="362"/>
      <c r="F39" s="362"/>
      <c r="H39" s="5"/>
    </row>
    <row r="40" spans="2:8" ht="15" customHeight="1">
      <c r="B40" s="101">
        <v>2</v>
      </c>
      <c r="C40" s="362" t="s">
        <v>132</v>
      </c>
      <c r="D40" s="362"/>
      <c r="E40" s="362"/>
      <c r="F40" s="68" t="s">
        <v>108</v>
      </c>
      <c r="H40" s="5"/>
    </row>
    <row r="41" spans="2:8" ht="15" customHeight="1">
      <c r="B41" s="102" t="s">
        <v>78</v>
      </c>
      <c r="C41" s="290" t="s">
        <v>133</v>
      </c>
      <c r="D41" s="291"/>
      <c r="E41" s="292"/>
      <c r="F41" s="33">
        <f>(2*2*26)-(0.06*F29)</f>
        <v>45.84</v>
      </c>
      <c r="H41" s="5"/>
    </row>
    <row r="42" spans="2:8" ht="15" customHeight="1">
      <c r="B42" s="102" t="s">
        <v>83</v>
      </c>
      <c r="C42" s="393" t="s">
        <v>134</v>
      </c>
      <c r="D42" s="393"/>
      <c r="E42" s="393"/>
      <c r="F42" s="33">
        <v>125</v>
      </c>
      <c r="H42" s="5"/>
    </row>
    <row r="43" spans="2:8" ht="15" customHeight="1">
      <c r="B43" s="34" t="s">
        <v>86</v>
      </c>
      <c r="C43" s="382" t="s">
        <v>135</v>
      </c>
      <c r="D43" s="382"/>
      <c r="E43" s="382"/>
      <c r="F43" s="62">
        <v>10</v>
      </c>
      <c r="H43" s="5"/>
    </row>
    <row r="44" spans="2:8" ht="15" customHeight="1">
      <c r="B44" s="34" t="s">
        <v>88</v>
      </c>
      <c r="C44" s="382" t="s">
        <v>136</v>
      </c>
      <c r="D44" s="382"/>
      <c r="E44" s="382"/>
      <c r="F44" s="62">
        <v>0</v>
      </c>
      <c r="H44" s="5"/>
    </row>
    <row r="45" spans="2:8" ht="15" customHeight="1">
      <c r="B45" s="34" t="s">
        <v>113</v>
      </c>
      <c r="C45" s="382" t="s">
        <v>138</v>
      </c>
      <c r="D45" s="382"/>
      <c r="E45" s="382"/>
      <c r="F45" s="62">
        <v>2.5</v>
      </c>
      <c r="H45" s="5"/>
    </row>
    <row r="46" spans="2:8" ht="15" customHeight="1">
      <c r="B46" s="102" t="s">
        <v>116</v>
      </c>
      <c r="C46" s="382" t="s">
        <v>258</v>
      </c>
      <c r="D46" s="382"/>
      <c r="E46" s="382"/>
      <c r="F46" s="62">
        <v>0</v>
      </c>
      <c r="H46" s="5"/>
    </row>
    <row r="47" spans="2:8" ht="15" customHeight="1">
      <c r="B47" s="362" t="s">
        <v>143</v>
      </c>
      <c r="C47" s="362"/>
      <c r="D47" s="362"/>
      <c r="E47" s="362"/>
      <c r="F47" s="69">
        <f>SUM(F41:F46)</f>
        <v>183.34</v>
      </c>
      <c r="H47" s="5"/>
    </row>
    <row r="48" spans="2:8" ht="27.75" customHeight="1">
      <c r="B48" s="34" t="s">
        <v>145</v>
      </c>
      <c r="C48" s="309" t="s">
        <v>146</v>
      </c>
      <c r="D48" s="310"/>
      <c r="E48" s="310"/>
      <c r="F48" s="311"/>
      <c r="H48" s="5"/>
    </row>
    <row r="49" spans="2:8" ht="35.25" customHeight="1">
      <c r="B49" s="317" t="s">
        <v>148</v>
      </c>
      <c r="C49" s="373" t="s">
        <v>149</v>
      </c>
      <c r="D49" s="374"/>
      <c r="E49" s="374"/>
      <c r="F49" s="375"/>
      <c r="H49" s="5"/>
    </row>
    <row r="50" spans="2:8" ht="11.25" customHeight="1">
      <c r="B50" s="318"/>
      <c r="C50" s="376"/>
      <c r="D50" s="377"/>
      <c r="E50" s="377"/>
      <c r="F50" s="378"/>
      <c r="H50" s="5"/>
    </row>
    <row r="51" spans="2:8" ht="21.75" customHeight="1">
      <c r="B51" s="318"/>
      <c r="C51" s="376"/>
      <c r="D51" s="377"/>
      <c r="E51" s="377"/>
      <c r="F51" s="378"/>
      <c r="H51" s="5"/>
    </row>
    <row r="52" spans="2:8" ht="20.25" customHeight="1">
      <c r="B52" s="319"/>
      <c r="C52" s="379"/>
      <c r="D52" s="380"/>
      <c r="E52" s="380"/>
      <c r="F52" s="381"/>
      <c r="H52" s="5"/>
    </row>
    <row r="53" spans="2:8" ht="15" customHeight="1">
      <c r="H53" s="5"/>
    </row>
    <row r="54" spans="2:8" ht="15" customHeight="1">
      <c r="B54" s="293" t="s">
        <v>153</v>
      </c>
      <c r="C54" s="295"/>
      <c r="D54" s="293" t="s">
        <v>154</v>
      </c>
      <c r="E54" s="294"/>
      <c r="F54" s="295"/>
      <c r="H54" s="5"/>
    </row>
    <row r="55" spans="2:8" ht="15" customHeight="1">
      <c r="B55" s="101">
        <v>3</v>
      </c>
      <c r="C55" s="293" t="s">
        <v>155</v>
      </c>
      <c r="D55" s="294"/>
      <c r="E55" s="295"/>
      <c r="F55" s="68" t="s">
        <v>108</v>
      </c>
      <c r="H55" s="5"/>
    </row>
    <row r="56" spans="2:8" ht="15" customHeight="1">
      <c r="B56" s="34" t="s">
        <v>78</v>
      </c>
      <c r="C56" s="290" t="s">
        <v>156</v>
      </c>
      <c r="D56" s="291"/>
      <c r="E56" s="292"/>
      <c r="F56" s="35">
        <v>12</v>
      </c>
      <c r="H56" s="5"/>
    </row>
    <row r="57" spans="2:8" ht="15" customHeight="1">
      <c r="B57" s="34" t="s">
        <v>83</v>
      </c>
      <c r="C57" s="290" t="s">
        <v>157</v>
      </c>
      <c r="D57" s="291"/>
      <c r="E57" s="292"/>
      <c r="F57" s="35">
        <v>1311.86</v>
      </c>
      <c r="H57" s="5"/>
    </row>
    <row r="58" spans="2:8" ht="15" customHeight="1">
      <c r="B58" s="34" t="s">
        <v>86</v>
      </c>
      <c r="C58" s="290" t="s">
        <v>158</v>
      </c>
      <c r="D58" s="291"/>
      <c r="E58" s="292"/>
      <c r="F58" s="35">
        <v>0</v>
      </c>
      <c r="H58" s="5"/>
    </row>
    <row r="59" spans="2:8" ht="15" customHeight="1">
      <c r="B59" s="102" t="s">
        <v>88</v>
      </c>
      <c r="C59" s="322" t="s">
        <v>259</v>
      </c>
      <c r="D59" s="328"/>
      <c r="E59" s="323"/>
      <c r="F59" s="36">
        <f>F58*-0.8</f>
        <v>0</v>
      </c>
      <c r="H59" s="5"/>
    </row>
    <row r="60" spans="2:8" ht="15" customHeight="1">
      <c r="B60" s="293" t="s">
        <v>159</v>
      </c>
      <c r="C60" s="294"/>
      <c r="D60" s="294"/>
      <c r="E60" s="295"/>
      <c r="F60" s="69">
        <f>SUM(F56:F59)</f>
        <v>1323.86</v>
      </c>
      <c r="H60" s="5"/>
    </row>
    <row r="61" spans="2:8" ht="15" customHeight="1">
      <c r="B61" s="37" t="s">
        <v>103</v>
      </c>
      <c r="C61" s="306" t="s">
        <v>160</v>
      </c>
      <c r="D61" s="307"/>
      <c r="E61" s="307"/>
      <c r="F61" s="308"/>
      <c r="H61" s="5"/>
    </row>
    <row r="62" spans="2:8" ht="15" customHeight="1">
      <c r="H62" s="5"/>
    </row>
    <row r="63" spans="2:8" ht="15" customHeight="1">
      <c r="B63" s="293" t="s">
        <v>161</v>
      </c>
      <c r="C63" s="295"/>
      <c r="D63" s="293" t="s">
        <v>162</v>
      </c>
      <c r="E63" s="294"/>
      <c r="F63" s="295"/>
      <c r="H63" s="5"/>
    </row>
    <row r="64" spans="2:8" ht="15" customHeight="1">
      <c r="B64" s="293" t="s">
        <v>163</v>
      </c>
      <c r="C64" s="295"/>
      <c r="D64" s="293" t="s">
        <v>164</v>
      </c>
      <c r="E64" s="294"/>
      <c r="F64" s="295"/>
      <c r="H64" s="5"/>
    </row>
    <row r="65" spans="2:8" ht="15" customHeight="1">
      <c r="B65" s="101" t="s">
        <v>165</v>
      </c>
      <c r="C65" s="293" t="s">
        <v>164</v>
      </c>
      <c r="D65" s="295"/>
      <c r="E65" s="87" t="s">
        <v>166</v>
      </c>
      <c r="F65" s="68" t="s">
        <v>108</v>
      </c>
      <c r="H65" s="5"/>
    </row>
    <row r="66" spans="2:8" ht="15" customHeight="1">
      <c r="B66" s="34" t="s">
        <v>78</v>
      </c>
      <c r="C66" s="290" t="s">
        <v>167</v>
      </c>
      <c r="D66" s="292"/>
      <c r="E66" s="80">
        <v>0.2</v>
      </c>
      <c r="F66" s="38">
        <f t="shared" ref="F66:F73" si="1">E66*$F$37</f>
        <v>232.63</v>
      </c>
      <c r="H66" s="5"/>
    </row>
    <row r="67" spans="2:8" ht="15" customHeight="1">
      <c r="B67" s="34" t="s">
        <v>83</v>
      </c>
      <c r="C67" s="290" t="s">
        <v>168</v>
      </c>
      <c r="D67" s="292"/>
      <c r="E67" s="80">
        <v>1.4999999999999999E-2</v>
      </c>
      <c r="F67" s="38">
        <f t="shared" si="1"/>
        <v>17.45</v>
      </c>
      <c r="H67" s="5"/>
    </row>
    <row r="68" spans="2:8" ht="15" customHeight="1">
      <c r="B68" s="34" t="s">
        <v>86</v>
      </c>
      <c r="C68" s="290" t="s">
        <v>169</v>
      </c>
      <c r="D68" s="292"/>
      <c r="E68" s="80">
        <v>0.01</v>
      </c>
      <c r="F68" s="38">
        <f t="shared" si="1"/>
        <v>11.63</v>
      </c>
      <c r="H68" s="5"/>
    </row>
    <row r="69" spans="2:8" ht="15" customHeight="1">
      <c r="B69" s="34" t="s">
        <v>88</v>
      </c>
      <c r="C69" s="290" t="s">
        <v>170</v>
      </c>
      <c r="D69" s="292"/>
      <c r="E69" s="80">
        <v>2E-3</v>
      </c>
      <c r="F69" s="38">
        <f t="shared" si="1"/>
        <v>2.33</v>
      </c>
      <c r="H69" s="5"/>
    </row>
    <row r="70" spans="2:8" ht="15" customHeight="1">
      <c r="B70" s="34" t="s">
        <v>113</v>
      </c>
      <c r="C70" s="290" t="s">
        <v>171</v>
      </c>
      <c r="D70" s="292"/>
      <c r="E70" s="80">
        <v>2.5000000000000001E-2</v>
      </c>
      <c r="F70" s="38">
        <f t="shared" si="1"/>
        <v>29.08</v>
      </c>
      <c r="H70" s="5"/>
    </row>
    <row r="71" spans="2:8" ht="15" customHeight="1">
      <c r="B71" s="34" t="s">
        <v>116</v>
      </c>
      <c r="C71" s="290" t="s">
        <v>172</v>
      </c>
      <c r="D71" s="292"/>
      <c r="E71" s="80">
        <v>0.08</v>
      </c>
      <c r="F71" s="38">
        <f t="shared" si="1"/>
        <v>93.05</v>
      </c>
      <c r="H71" s="5"/>
    </row>
    <row r="72" spans="2:8" ht="15" customHeight="1">
      <c r="B72" s="34" t="s">
        <v>122</v>
      </c>
      <c r="C72" s="290" t="s">
        <v>261</v>
      </c>
      <c r="D72" s="292"/>
      <c r="E72" s="126">
        <v>0.03</v>
      </c>
      <c r="F72" s="38">
        <f t="shared" si="1"/>
        <v>34.89</v>
      </c>
      <c r="H72" s="5"/>
    </row>
    <row r="73" spans="2:8" ht="15" customHeight="1">
      <c r="B73" s="34" t="s">
        <v>125</v>
      </c>
      <c r="C73" s="290" t="s">
        <v>174</v>
      </c>
      <c r="D73" s="292"/>
      <c r="E73" s="80">
        <v>6.0000000000000001E-3</v>
      </c>
      <c r="F73" s="38">
        <f t="shared" si="1"/>
        <v>6.98</v>
      </c>
      <c r="H73" s="5"/>
    </row>
    <row r="74" spans="2:8" ht="15" customHeight="1">
      <c r="B74" s="293" t="s">
        <v>57</v>
      </c>
      <c r="C74" s="294"/>
      <c r="D74" s="295"/>
      <c r="E74" s="79">
        <f>SUM(E66:E73)</f>
        <v>0.36799999999999999</v>
      </c>
      <c r="F74" s="69">
        <f>SUM(F66:F73)</f>
        <v>428.04</v>
      </c>
      <c r="H74" s="5"/>
    </row>
    <row r="75" spans="2:8" ht="15" customHeight="1">
      <c r="B75" s="39" t="s">
        <v>145</v>
      </c>
      <c r="C75" s="309" t="s">
        <v>175</v>
      </c>
      <c r="D75" s="310"/>
      <c r="E75" s="310"/>
      <c r="F75" s="311"/>
      <c r="H75" s="5"/>
    </row>
    <row r="76" spans="2:8" ht="15" customHeight="1">
      <c r="B76" s="39" t="s">
        <v>148</v>
      </c>
      <c r="C76" s="331" t="s">
        <v>176</v>
      </c>
      <c r="D76" s="332"/>
      <c r="E76" s="332"/>
      <c r="F76" s="333"/>
      <c r="H76" s="5"/>
    </row>
    <row r="77" spans="2:8" ht="15" customHeight="1">
      <c r="H77" s="5"/>
    </row>
    <row r="78" spans="2:8" ht="15" customHeight="1">
      <c r="B78" s="293" t="s">
        <v>177</v>
      </c>
      <c r="C78" s="295"/>
      <c r="D78" s="293" t="s">
        <v>178</v>
      </c>
      <c r="E78" s="294"/>
      <c r="F78" s="295"/>
      <c r="H78" s="5"/>
    </row>
    <row r="79" spans="2:8" ht="15" customHeight="1">
      <c r="B79" s="101" t="s">
        <v>179</v>
      </c>
      <c r="C79" s="293" t="s">
        <v>180</v>
      </c>
      <c r="D79" s="295"/>
      <c r="E79" s="87" t="s">
        <v>166</v>
      </c>
      <c r="F79" s="68" t="s">
        <v>108</v>
      </c>
      <c r="H79" s="5"/>
    </row>
    <row r="80" spans="2:8" ht="15" customHeight="1">
      <c r="B80" s="34" t="s">
        <v>78</v>
      </c>
      <c r="C80" s="290" t="s">
        <v>181</v>
      </c>
      <c r="D80" s="292"/>
      <c r="E80" s="80">
        <v>8.3330000000000001E-2</v>
      </c>
      <c r="F80" s="38">
        <f>E80*$F$37</f>
        <v>96.93</v>
      </c>
      <c r="H80" s="5"/>
    </row>
    <row r="81" spans="2:8" ht="15" customHeight="1">
      <c r="B81" s="64" t="s">
        <v>83</v>
      </c>
      <c r="C81" s="329" t="s">
        <v>182</v>
      </c>
      <c r="D81" s="330"/>
      <c r="E81" s="82">
        <v>2.7779999999999999E-2</v>
      </c>
      <c r="F81" s="38">
        <f>E81*$F$37</f>
        <v>32.31</v>
      </c>
      <c r="H81" s="5"/>
    </row>
    <row r="82" spans="2:8" ht="15" customHeight="1">
      <c r="B82" s="293" t="s">
        <v>183</v>
      </c>
      <c r="C82" s="294"/>
      <c r="D82" s="295"/>
      <c r="E82" s="83">
        <f>SUM(E80:E81)</f>
        <v>0.11111</v>
      </c>
      <c r="F82" s="70">
        <f>SUM(F80:F81)</f>
        <v>129.24</v>
      </c>
      <c r="H82" s="5"/>
    </row>
    <row r="83" spans="2:8" s="63" customFormat="1" ht="15" customHeight="1">
      <c r="B83" s="102" t="s">
        <v>86</v>
      </c>
      <c r="C83" s="322" t="s">
        <v>184</v>
      </c>
      <c r="D83" s="323"/>
      <c r="E83" s="88">
        <f>E74*E82</f>
        <v>4.0890000000000003E-2</v>
      </c>
      <c r="F83" s="94">
        <f>F82*E74</f>
        <v>47.56</v>
      </c>
    </row>
    <row r="84" spans="2:8" ht="15" customHeight="1">
      <c r="B84" s="293" t="s">
        <v>57</v>
      </c>
      <c r="C84" s="294"/>
      <c r="D84" s="295"/>
      <c r="E84" s="79">
        <f>SUM(E82:E83)</f>
        <v>0.152</v>
      </c>
      <c r="F84" s="71">
        <f>SUM(F82:F83)</f>
        <v>176.8</v>
      </c>
      <c r="H84" s="5"/>
    </row>
    <row r="85" spans="2:8" ht="15" customHeight="1">
      <c r="H85" s="5"/>
    </row>
    <row r="86" spans="2:8" ht="15" customHeight="1">
      <c r="B86" s="293" t="s">
        <v>185</v>
      </c>
      <c r="C86" s="295"/>
      <c r="D86" s="293" t="s">
        <v>186</v>
      </c>
      <c r="E86" s="294"/>
      <c r="F86" s="295"/>
      <c r="H86" s="5"/>
    </row>
    <row r="87" spans="2:8" ht="15" customHeight="1">
      <c r="B87" s="101" t="s">
        <v>187</v>
      </c>
      <c r="C87" s="293" t="s">
        <v>186</v>
      </c>
      <c r="D87" s="295"/>
      <c r="E87" s="87" t="s">
        <v>166</v>
      </c>
      <c r="F87" s="68" t="s">
        <v>108</v>
      </c>
      <c r="H87" s="5"/>
    </row>
    <row r="88" spans="2:8" ht="15" customHeight="1">
      <c r="B88" s="34" t="s">
        <v>78</v>
      </c>
      <c r="C88" s="290" t="s">
        <v>186</v>
      </c>
      <c r="D88" s="292"/>
      <c r="E88" s="78">
        <v>2.8700000000000002E-3</v>
      </c>
      <c r="F88" s="38">
        <f>E88*$F$37</f>
        <v>3.34</v>
      </c>
      <c r="H88" s="5"/>
    </row>
    <row r="89" spans="2:8" ht="15" customHeight="1">
      <c r="B89" s="102" t="s">
        <v>83</v>
      </c>
      <c r="C89" s="322" t="s">
        <v>188</v>
      </c>
      <c r="D89" s="323"/>
      <c r="E89" s="88">
        <f>E74*E88</f>
        <v>1.06E-3</v>
      </c>
      <c r="F89" s="94">
        <f>F88*E74</f>
        <v>1.23</v>
      </c>
      <c r="H89" s="5"/>
    </row>
    <row r="90" spans="2:8" ht="15" customHeight="1">
      <c r="B90" s="293" t="s">
        <v>57</v>
      </c>
      <c r="C90" s="294"/>
      <c r="D90" s="295"/>
      <c r="E90" s="89">
        <f>SUM(E88:E89)</f>
        <v>3.9300000000000003E-3</v>
      </c>
      <c r="F90" s="69">
        <f>SUM(F88:F89)</f>
        <v>4.57</v>
      </c>
      <c r="H90" s="5"/>
    </row>
    <row r="91" spans="2:8" ht="15" customHeight="1">
      <c r="H91" s="5"/>
    </row>
    <row r="92" spans="2:8" ht="15" customHeight="1">
      <c r="B92" s="293" t="s">
        <v>189</v>
      </c>
      <c r="C92" s="295"/>
      <c r="D92" s="293" t="s">
        <v>190</v>
      </c>
      <c r="E92" s="294"/>
      <c r="F92" s="295"/>
      <c r="H92" s="5"/>
    </row>
    <row r="93" spans="2:8" ht="15" customHeight="1">
      <c r="B93" s="101" t="s">
        <v>191</v>
      </c>
      <c r="C93" s="293" t="s">
        <v>190</v>
      </c>
      <c r="D93" s="295"/>
      <c r="E93" s="87" t="s">
        <v>166</v>
      </c>
      <c r="F93" s="68" t="s">
        <v>108</v>
      </c>
      <c r="H93" s="5"/>
    </row>
    <row r="94" spans="2:8" ht="15" customHeight="1">
      <c r="B94" s="34" t="s">
        <v>78</v>
      </c>
      <c r="C94" s="290" t="s">
        <v>192</v>
      </c>
      <c r="D94" s="292"/>
      <c r="E94" s="78">
        <v>4.1700000000000001E-3</v>
      </c>
      <c r="F94" s="38">
        <f>E94*$F$37</f>
        <v>4.8499999999999996</v>
      </c>
      <c r="H94" s="5"/>
    </row>
    <row r="95" spans="2:8" ht="15" customHeight="1">
      <c r="B95" s="34" t="s">
        <v>83</v>
      </c>
      <c r="C95" s="326" t="s">
        <v>193</v>
      </c>
      <c r="D95" s="327"/>
      <c r="E95" s="78">
        <f>E94*E71</f>
        <v>3.3E-4</v>
      </c>
      <c r="F95" s="38">
        <f>F94*E71</f>
        <v>0.39</v>
      </c>
      <c r="H95" s="5"/>
    </row>
    <row r="96" spans="2:8" ht="15" customHeight="1">
      <c r="B96" s="34" t="s">
        <v>86</v>
      </c>
      <c r="C96" s="290" t="s">
        <v>194</v>
      </c>
      <c r="D96" s="292"/>
      <c r="E96" s="78">
        <v>3.2000000000000001E-2</v>
      </c>
      <c r="F96" s="38">
        <f>E96*$F$37</f>
        <v>37.22</v>
      </c>
      <c r="H96" s="5"/>
    </row>
    <row r="97" spans="2:8" ht="15" customHeight="1">
      <c r="B97" s="34" t="s">
        <v>88</v>
      </c>
      <c r="C97" s="290" t="s">
        <v>195</v>
      </c>
      <c r="D97" s="292"/>
      <c r="E97" s="78">
        <v>1.9439999999999999E-2</v>
      </c>
      <c r="F97" s="38">
        <f>E97*$F$37</f>
        <v>22.61</v>
      </c>
      <c r="H97" s="5"/>
    </row>
    <row r="98" spans="2:8" ht="15" customHeight="1">
      <c r="B98" s="34" t="s">
        <v>113</v>
      </c>
      <c r="C98" s="326" t="s">
        <v>196</v>
      </c>
      <c r="D98" s="327"/>
      <c r="E98" s="78">
        <f>E97*E74</f>
        <v>7.1500000000000001E-3</v>
      </c>
      <c r="F98" s="94">
        <f>F97*E74</f>
        <v>8.32</v>
      </c>
      <c r="H98" s="5"/>
    </row>
    <row r="99" spans="2:8" ht="15" customHeight="1">
      <c r="B99" s="102" t="s">
        <v>88</v>
      </c>
      <c r="C99" s="290" t="s">
        <v>197</v>
      </c>
      <c r="D99" s="292"/>
      <c r="E99" s="78">
        <v>8.0000000000000002E-3</v>
      </c>
      <c r="F99" s="38">
        <f>E99*$F$37</f>
        <v>9.31</v>
      </c>
      <c r="H99" s="5"/>
    </row>
    <row r="100" spans="2:8" ht="15" customHeight="1">
      <c r="B100" s="293" t="s">
        <v>57</v>
      </c>
      <c r="C100" s="294"/>
      <c r="D100" s="295"/>
      <c r="E100" s="79">
        <f>SUM(E94:E99)</f>
        <v>7.109E-2</v>
      </c>
      <c r="F100" s="69">
        <f>SUM(F94:F99)</f>
        <v>82.7</v>
      </c>
      <c r="H100" s="5"/>
    </row>
    <row r="101" spans="2:8" ht="27" customHeight="1">
      <c r="B101" s="32" t="s">
        <v>145</v>
      </c>
      <c r="C101" s="322" t="s">
        <v>198</v>
      </c>
      <c r="D101" s="328"/>
      <c r="E101" s="328"/>
      <c r="F101" s="323"/>
      <c r="H101" s="5"/>
    </row>
    <row r="102" spans="2:8" ht="24.75" customHeight="1">
      <c r="B102" s="32" t="s">
        <v>148</v>
      </c>
      <c r="C102" s="322" t="s">
        <v>199</v>
      </c>
      <c r="D102" s="328"/>
      <c r="E102" s="328"/>
      <c r="F102" s="323"/>
      <c r="H102" s="5"/>
    </row>
    <row r="103" spans="2:8" ht="15" customHeight="1">
      <c r="H103" s="5"/>
    </row>
    <row r="104" spans="2:8" ht="15" customHeight="1">
      <c r="B104" s="293" t="s">
        <v>200</v>
      </c>
      <c r="C104" s="295"/>
      <c r="D104" s="293" t="s">
        <v>201</v>
      </c>
      <c r="E104" s="294"/>
      <c r="F104" s="295"/>
      <c r="H104" s="5"/>
    </row>
    <row r="105" spans="2:8" ht="15" customHeight="1">
      <c r="B105" s="101" t="s">
        <v>202</v>
      </c>
      <c r="C105" s="324" t="s">
        <v>203</v>
      </c>
      <c r="D105" s="325"/>
      <c r="E105" s="87" t="s">
        <v>166</v>
      </c>
      <c r="F105" s="68" t="s">
        <v>108</v>
      </c>
      <c r="H105" s="5"/>
    </row>
    <row r="106" spans="2:8" ht="15" customHeight="1">
      <c r="B106" s="34" t="s">
        <v>78</v>
      </c>
      <c r="C106" s="290" t="s">
        <v>204</v>
      </c>
      <c r="D106" s="292"/>
      <c r="E106" s="80">
        <v>7.8100000000000003E-2</v>
      </c>
      <c r="F106" s="38">
        <f t="shared" ref="F106:F113" si="2">E106*$F$37</f>
        <v>90.84</v>
      </c>
      <c r="H106" s="5"/>
    </row>
    <row r="107" spans="2:8" ht="15" customHeight="1">
      <c r="B107" s="34" t="s">
        <v>83</v>
      </c>
      <c r="C107" s="326" t="s">
        <v>283</v>
      </c>
      <c r="D107" s="327"/>
      <c r="E107" s="80">
        <v>2.6800000000000001E-2</v>
      </c>
      <c r="F107" s="38">
        <f t="shared" si="2"/>
        <v>31.17</v>
      </c>
      <c r="H107" s="5"/>
    </row>
    <row r="108" spans="2:8" ht="15" customHeight="1">
      <c r="B108" s="34" t="s">
        <v>86</v>
      </c>
      <c r="C108" s="122" t="s">
        <v>284</v>
      </c>
      <c r="D108" s="123"/>
      <c r="E108" s="80">
        <v>3.0000000000000001E-3</v>
      </c>
      <c r="F108" s="38">
        <f t="shared" si="2"/>
        <v>3.49</v>
      </c>
      <c r="H108" s="5"/>
    </row>
    <row r="109" spans="2:8" ht="15" customHeight="1">
      <c r="B109" s="34" t="s">
        <v>88</v>
      </c>
      <c r="C109" s="290" t="s">
        <v>206</v>
      </c>
      <c r="D109" s="292"/>
      <c r="E109" s="80">
        <v>2.9999999999999997E-4</v>
      </c>
      <c r="F109" s="38">
        <f t="shared" si="2"/>
        <v>0.35</v>
      </c>
      <c r="H109" s="5"/>
    </row>
    <row r="110" spans="2:8" ht="15" customHeight="1">
      <c r="B110" s="34" t="s">
        <v>113</v>
      </c>
      <c r="C110" s="290" t="s">
        <v>208</v>
      </c>
      <c r="D110" s="292"/>
      <c r="E110" s="80">
        <v>5.0000000000000001E-4</v>
      </c>
      <c r="F110" s="38">
        <f t="shared" si="2"/>
        <v>0.57999999999999996</v>
      </c>
      <c r="H110" s="5"/>
    </row>
    <row r="111" spans="2:8" ht="15" customHeight="1">
      <c r="B111" s="34" t="s">
        <v>116</v>
      </c>
      <c r="C111" s="290" t="s">
        <v>285</v>
      </c>
      <c r="D111" s="292"/>
      <c r="E111" s="80">
        <v>6.7000000000000002E-3</v>
      </c>
      <c r="F111" s="38">
        <f t="shared" si="2"/>
        <v>7.79</v>
      </c>
      <c r="H111" s="5"/>
    </row>
    <row r="112" spans="2:8" ht="15" customHeight="1">
      <c r="B112" s="102" t="s">
        <v>122</v>
      </c>
      <c r="C112" s="322" t="s">
        <v>286</v>
      </c>
      <c r="D112" s="323"/>
      <c r="E112" s="80">
        <v>3.2000000000000002E-3</v>
      </c>
      <c r="F112" s="38">
        <f t="shared" si="2"/>
        <v>3.72</v>
      </c>
      <c r="H112" s="5"/>
    </row>
    <row r="113" spans="2:8" ht="15" customHeight="1">
      <c r="B113" s="132" t="s">
        <v>125</v>
      </c>
      <c r="C113" s="124" t="s">
        <v>141</v>
      </c>
      <c r="D113" s="121"/>
      <c r="E113" s="80">
        <v>0</v>
      </c>
      <c r="F113" s="38">
        <f t="shared" si="2"/>
        <v>0</v>
      </c>
      <c r="H113" s="5"/>
    </row>
    <row r="114" spans="2:8" ht="15" customHeight="1">
      <c r="B114" s="293" t="s">
        <v>183</v>
      </c>
      <c r="C114" s="294"/>
      <c r="D114" s="295"/>
      <c r="E114" s="79">
        <f>SUM(E106:E113)</f>
        <v>0.1186</v>
      </c>
      <c r="F114" s="73">
        <f>SUM(F106:F113)</f>
        <v>137.94</v>
      </c>
      <c r="H114" s="5"/>
    </row>
    <row r="115" spans="2:8" ht="15" customHeight="1">
      <c r="B115" s="102" t="s">
        <v>287</v>
      </c>
      <c r="C115" s="326" t="s">
        <v>209</v>
      </c>
      <c r="D115" s="327"/>
      <c r="E115" s="78">
        <f>E74*E114</f>
        <v>4.3639999999999998E-2</v>
      </c>
      <c r="F115" s="76">
        <f>E74*F114</f>
        <v>50.76</v>
      </c>
      <c r="H115" s="5"/>
    </row>
    <row r="116" spans="2:8" ht="15" customHeight="1">
      <c r="B116" s="293" t="s">
        <v>57</v>
      </c>
      <c r="C116" s="294"/>
      <c r="D116" s="295"/>
      <c r="E116" s="79">
        <f>SUM(E114:E115)</f>
        <v>0.16224</v>
      </c>
      <c r="F116" s="69">
        <f>SUM(F114:F115)</f>
        <v>188.7</v>
      </c>
      <c r="H116" s="5"/>
    </row>
    <row r="117" spans="2:8" ht="15" customHeight="1">
      <c r="H117" s="5"/>
    </row>
    <row r="118" spans="2:8" ht="15" customHeight="1">
      <c r="B118" s="293" t="s">
        <v>210</v>
      </c>
      <c r="C118" s="295"/>
      <c r="D118" s="293" t="s">
        <v>211</v>
      </c>
      <c r="E118" s="294"/>
      <c r="F118" s="295"/>
      <c r="H118" s="5"/>
    </row>
    <row r="119" spans="2:8" ht="15" customHeight="1">
      <c r="B119" s="101">
        <v>4</v>
      </c>
      <c r="C119" s="324" t="s">
        <v>212</v>
      </c>
      <c r="D119" s="325"/>
      <c r="E119" s="87" t="s">
        <v>166</v>
      </c>
      <c r="F119" s="68" t="s">
        <v>108</v>
      </c>
      <c r="H119" s="5"/>
    </row>
    <row r="120" spans="2:8" ht="15" customHeight="1">
      <c r="B120" s="34" t="s">
        <v>165</v>
      </c>
      <c r="C120" s="290" t="str">
        <f>D64</f>
        <v>Encargos Previdenciários e FGTS</v>
      </c>
      <c r="D120" s="292"/>
      <c r="E120" s="90">
        <f>E74</f>
        <v>0.36799999999999999</v>
      </c>
      <c r="F120" s="38">
        <f>F74</f>
        <v>428.04</v>
      </c>
      <c r="H120" s="5"/>
    </row>
    <row r="121" spans="2:8" ht="15" customHeight="1">
      <c r="B121" s="34" t="s">
        <v>179</v>
      </c>
      <c r="C121" s="326" t="str">
        <f>D78</f>
        <v>13° Salário e Adicional de Férias</v>
      </c>
      <c r="D121" s="327"/>
      <c r="E121" s="90">
        <f>E84</f>
        <v>0.152</v>
      </c>
      <c r="F121" s="38">
        <f>F84</f>
        <v>176.8</v>
      </c>
      <c r="H121" s="5"/>
    </row>
    <row r="122" spans="2:8" ht="15" customHeight="1">
      <c r="B122" s="34" t="s">
        <v>187</v>
      </c>
      <c r="C122" s="290" t="str">
        <f>D86</f>
        <v>Afastamento Maternidade</v>
      </c>
      <c r="D122" s="292"/>
      <c r="E122" s="90">
        <f>E90</f>
        <v>3.9300000000000003E-3</v>
      </c>
      <c r="F122" s="38">
        <f>F90</f>
        <v>4.57</v>
      </c>
      <c r="H122" s="5"/>
    </row>
    <row r="123" spans="2:8" ht="15" customHeight="1">
      <c r="B123" s="34" t="s">
        <v>191</v>
      </c>
      <c r="C123" s="290" t="str">
        <f>D92</f>
        <v>Provisão para Rescisão</v>
      </c>
      <c r="D123" s="292"/>
      <c r="E123" s="90">
        <f>E100</f>
        <v>7.109E-2</v>
      </c>
      <c r="F123" s="38">
        <f>F100</f>
        <v>82.7</v>
      </c>
      <c r="H123" s="5"/>
    </row>
    <row r="124" spans="2:8" ht="15" customHeight="1">
      <c r="B124" s="34" t="s">
        <v>202</v>
      </c>
      <c r="C124" s="290" t="str">
        <f>D104</f>
        <v>Custo de Reposição do Profissional Ausente</v>
      </c>
      <c r="D124" s="292"/>
      <c r="E124" s="90">
        <f>E116</f>
        <v>0.16224</v>
      </c>
      <c r="F124" s="38">
        <f>F116</f>
        <v>188.7</v>
      </c>
      <c r="H124" s="5"/>
    </row>
    <row r="125" spans="2:8" ht="15" customHeight="1">
      <c r="B125" s="102" t="s">
        <v>213</v>
      </c>
      <c r="C125" s="322" t="s">
        <v>126</v>
      </c>
      <c r="D125" s="323"/>
      <c r="E125" s="90">
        <v>0</v>
      </c>
      <c r="F125" s="38">
        <v>0</v>
      </c>
      <c r="H125" s="5"/>
    </row>
    <row r="126" spans="2:8" ht="15" customHeight="1">
      <c r="B126" s="293" t="s">
        <v>57</v>
      </c>
      <c r="C126" s="294"/>
      <c r="D126" s="295"/>
      <c r="E126" s="89">
        <f>SUM(E120:E125)</f>
        <v>0.75726000000000004</v>
      </c>
      <c r="F126" s="69">
        <f>SUM(F120:F125)</f>
        <v>880.81</v>
      </c>
      <c r="H126" s="5"/>
    </row>
    <row r="127" spans="2:8" ht="15" customHeight="1">
      <c r="H127" s="5"/>
    </row>
    <row r="128" spans="2:8" ht="15" customHeight="1">
      <c r="B128" s="293" t="s">
        <v>214</v>
      </c>
      <c r="C128" s="295"/>
      <c r="D128" s="293" t="s">
        <v>215</v>
      </c>
      <c r="E128" s="294"/>
      <c r="F128" s="295"/>
      <c r="H128" s="5"/>
    </row>
    <row r="129" spans="2:8" ht="15" customHeight="1">
      <c r="B129" s="101">
        <v>5</v>
      </c>
      <c r="C129" s="293" t="s">
        <v>216</v>
      </c>
      <c r="D129" s="295"/>
      <c r="E129" s="87" t="s">
        <v>166</v>
      </c>
      <c r="F129" s="68" t="s">
        <v>108</v>
      </c>
      <c r="H129" s="5"/>
    </row>
    <row r="130" spans="2:8" ht="15" customHeight="1">
      <c r="B130" s="34" t="s">
        <v>78</v>
      </c>
      <c r="C130" s="315" t="s">
        <v>217</v>
      </c>
      <c r="D130" s="316"/>
      <c r="E130" s="84">
        <v>5.0000000000000001E-3</v>
      </c>
      <c r="F130" s="40">
        <f>E130*F150</f>
        <v>17.760000000000002</v>
      </c>
      <c r="H130" s="5"/>
    </row>
    <row r="131" spans="2:8" ht="15" customHeight="1">
      <c r="B131" s="34" t="s">
        <v>83</v>
      </c>
      <c r="C131" s="104" t="s">
        <v>218</v>
      </c>
      <c r="D131" s="104"/>
      <c r="E131" s="84">
        <v>5.0000000000000001E-3</v>
      </c>
      <c r="F131" s="40">
        <f>E131*(F150+F130)</f>
        <v>17.84</v>
      </c>
      <c r="H131" s="5"/>
    </row>
    <row r="132" spans="2:8" ht="15" customHeight="1">
      <c r="B132" s="303" t="s">
        <v>219</v>
      </c>
      <c r="C132" s="304"/>
      <c r="D132" s="305"/>
      <c r="E132" s="79">
        <f>SUM(E130:E131)</f>
        <v>0.01</v>
      </c>
      <c r="F132" s="69">
        <f>SUM(F130:F131)</f>
        <v>35.6</v>
      </c>
      <c r="H132" s="5"/>
    </row>
    <row r="133" spans="2:8" ht="15" customHeight="1">
      <c r="B133" s="317" t="s">
        <v>86</v>
      </c>
      <c r="C133" s="290" t="s">
        <v>220</v>
      </c>
      <c r="D133" s="291"/>
      <c r="E133" s="291"/>
      <c r="F133" s="292"/>
      <c r="H133" s="5"/>
    </row>
    <row r="134" spans="2:8" ht="15" customHeight="1">
      <c r="B134" s="318"/>
      <c r="C134" s="320" t="s">
        <v>221</v>
      </c>
      <c r="D134" s="42" t="s">
        <v>222</v>
      </c>
      <c r="E134" s="80">
        <v>7.5999999999999998E-2</v>
      </c>
      <c r="F134" s="41">
        <f>(($F$150+$F$130+$F$131)/(1-$E$138))*E134</f>
        <v>317.89</v>
      </c>
      <c r="H134" s="5"/>
    </row>
    <row r="135" spans="2:8" ht="15" customHeight="1">
      <c r="B135" s="318"/>
      <c r="C135" s="321"/>
      <c r="D135" s="42" t="s">
        <v>223</v>
      </c>
      <c r="E135" s="80">
        <v>1.6500000000000001E-2</v>
      </c>
      <c r="F135" s="41">
        <f>(($F$150+$F$130+$F$131)/(1-$E$138))*E135</f>
        <v>69.02</v>
      </c>
      <c r="H135" s="5"/>
    </row>
    <row r="136" spans="2:8" ht="15" customHeight="1">
      <c r="B136" s="318"/>
      <c r="C136" s="43" t="s">
        <v>224</v>
      </c>
      <c r="D136" s="42" t="s">
        <v>225</v>
      </c>
      <c r="E136" s="80">
        <v>0.05</v>
      </c>
      <c r="F136" s="41">
        <f>(($F$150+$F$130+$F$131)/(1-$E$138))*E136</f>
        <v>209.14</v>
      </c>
      <c r="H136" s="5"/>
    </row>
    <row r="137" spans="2:8" ht="15" customHeight="1">
      <c r="B137" s="319"/>
      <c r="C137" s="43" t="s">
        <v>226</v>
      </c>
      <c r="D137" s="72"/>
      <c r="E137" s="80">
        <v>0</v>
      </c>
      <c r="F137" s="41">
        <f>(($F$150+$F$130+$F$131)/(1-$E$138))*E137</f>
        <v>0</v>
      </c>
      <c r="H137" s="5"/>
    </row>
    <row r="138" spans="2:8" ht="15" customHeight="1">
      <c r="B138" s="303" t="s">
        <v>227</v>
      </c>
      <c r="C138" s="304"/>
      <c r="D138" s="305"/>
      <c r="E138" s="79">
        <f>SUM(E134:E137)</f>
        <v>0.14249999999999999</v>
      </c>
      <c r="F138" s="69">
        <f>SUM(F134:F137)</f>
        <v>596.04999999999995</v>
      </c>
      <c r="H138" s="5"/>
    </row>
    <row r="139" spans="2:8" ht="15" customHeight="1">
      <c r="B139" s="293" t="s">
        <v>57</v>
      </c>
      <c r="C139" s="294"/>
      <c r="D139" s="295"/>
      <c r="E139" s="79">
        <f>E132+E138</f>
        <v>0.1525</v>
      </c>
      <c r="F139" s="71">
        <f>SUM(F138,F132)</f>
        <v>631.65</v>
      </c>
      <c r="H139" s="5"/>
    </row>
    <row r="140" spans="2:8" ht="15" customHeight="1">
      <c r="B140" s="39" t="s">
        <v>145</v>
      </c>
      <c r="C140" s="306" t="s">
        <v>228</v>
      </c>
      <c r="D140" s="307"/>
      <c r="E140" s="307"/>
      <c r="F140" s="308"/>
      <c r="H140" s="5"/>
    </row>
    <row r="141" spans="2:8" ht="15" customHeight="1">
      <c r="B141" s="39" t="s">
        <v>148</v>
      </c>
      <c r="C141" s="306" t="s">
        <v>229</v>
      </c>
      <c r="D141" s="307"/>
      <c r="E141" s="307"/>
      <c r="F141" s="308"/>
      <c r="H141" s="5"/>
    </row>
    <row r="142" spans="2:8" ht="25.5" customHeight="1">
      <c r="B142" s="39" t="s">
        <v>230</v>
      </c>
      <c r="C142" s="309" t="s">
        <v>231</v>
      </c>
      <c r="D142" s="310"/>
      <c r="E142" s="310"/>
      <c r="F142" s="311"/>
      <c r="H142" s="5"/>
    </row>
    <row r="143" spans="2:8" ht="15" customHeight="1">
      <c r="H143" s="5"/>
    </row>
    <row r="144" spans="2:8" ht="15" customHeight="1">
      <c r="B144" s="293" t="s">
        <v>232</v>
      </c>
      <c r="C144" s="294"/>
      <c r="D144" s="294"/>
      <c r="E144" s="294"/>
      <c r="F144" s="295"/>
      <c r="H144" s="5"/>
    </row>
    <row r="145" spans="2:8" ht="15" customHeight="1">
      <c r="B145" s="300" t="s">
        <v>233</v>
      </c>
      <c r="C145" s="301"/>
      <c r="D145" s="301"/>
      <c r="E145" s="302"/>
      <c r="F145" s="65" t="s">
        <v>234</v>
      </c>
      <c r="H145" s="5"/>
    </row>
    <row r="146" spans="2:8" ht="15" customHeight="1">
      <c r="B146" s="34" t="s">
        <v>78</v>
      </c>
      <c r="C146" s="290" t="s">
        <v>235</v>
      </c>
      <c r="D146" s="291"/>
      <c r="E146" s="292"/>
      <c r="F146" s="38">
        <f>F37</f>
        <v>1163.1600000000001</v>
      </c>
      <c r="H146" s="5"/>
    </row>
    <row r="147" spans="2:8" ht="15" customHeight="1">
      <c r="B147" s="34" t="s">
        <v>83</v>
      </c>
      <c r="C147" s="290" t="s">
        <v>236</v>
      </c>
      <c r="D147" s="291"/>
      <c r="E147" s="292"/>
      <c r="F147" s="38">
        <f>F47</f>
        <v>183.34</v>
      </c>
      <c r="H147" s="5"/>
    </row>
    <row r="148" spans="2:8" ht="15" customHeight="1">
      <c r="B148" s="34" t="s">
        <v>86</v>
      </c>
      <c r="C148" s="290" t="s">
        <v>237</v>
      </c>
      <c r="D148" s="291"/>
      <c r="E148" s="292"/>
      <c r="F148" s="38">
        <f>F60</f>
        <v>1323.86</v>
      </c>
      <c r="H148" s="5"/>
    </row>
    <row r="149" spans="2:8" ht="15" customHeight="1">
      <c r="B149" s="34" t="s">
        <v>88</v>
      </c>
      <c r="C149" s="290" t="s">
        <v>212</v>
      </c>
      <c r="D149" s="291"/>
      <c r="E149" s="292"/>
      <c r="F149" s="38">
        <f>F126</f>
        <v>880.81</v>
      </c>
      <c r="H149" s="5"/>
    </row>
    <row r="150" spans="2:8" ht="15" customHeight="1">
      <c r="B150" s="293" t="s">
        <v>238</v>
      </c>
      <c r="C150" s="294"/>
      <c r="D150" s="294"/>
      <c r="E150" s="295"/>
      <c r="F150" s="73">
        <f>SUM(F146:F149)</f>
        <v>3551.17</v>
      </c>
      <c r="H150" s="5"/>
    </row>
    <row r="151" spans="2:8" ht="15" customHeight="1">
      <c r="B151" s="34" t="s">
        <v>113</v>
      </c>
      <c r="C151" s="290" t="s">
        <v>239</v>
      </c>
      <c r="D151" s="291"/>
      <c r="E151" s="292"/>
      <c r="F151" s="38">
        <f>F139</f>
        <v>631.65</v>
      </c>
      <c r="H151" s="5"/>
    </row>
    <row r="152" spans="2:8" ht="15" customHeight="1">
      <c r="B152" s="293" t="s">
        <v>240</v>
      </c>
      <c r="C152" s="294"/>
      <c r="D152" s="294"/>
      <c r="E152" s="295"/>
      <c r="F152" s="73">
        <f>SUM(F150:F151)</f>
        <v>4182.82</v>
      </c>
      <c r="H152" s="5"/>
    </row>
    <row r="153" spans="2:8" ht="15" customHeight="1">
      <c r="B153" s="472" t="s">
        <v>264</v>
      </c>
      <c r="C153" s="472"/>
      <c r="D153" s="472"/>
      <c r="E153" s="472"/>
      <c r="F153" s="110">
        <f>F152*E16</f>
        <v>4182.82</v>
      </c>
      <c r="H153" s="5"/>
    </row>
    <row r="154" spans="2:8" ht="15" customHeight="1">
      <c r="H154" s="5"/>
    </row>
    <row r="155" spans="2:8" ht="26.25" customHeight="1">
      <c r="B155" s="470" t="s">
        <v>151</v>
      </c>
      <c r="C155" s="470"/>
      <c r="D155" s="111" t="s">
        <v>152</v>
      </c>
      <c r="E155" s="470" t="s">
        <v>251</v>
      </c>
      <c r="F155" s="470"/>
      <c r="G155" s="112"/>
      <c r="H155" s="5"/>
    </row>
    <row r="156" spans="2:8" ht="31.5" customHeight="1">
      <c r="B156" s="470" t="s">
        <v>253</v>
      </c>
      <c r="C156" s="470"/>
      <c r="D156" s="113">
        <v>60</v>
      </c>
      <c r="E156" s="471">
        <f>F153*D156</f>
        <v>250969.2</v>
      </c>
      <c r="F156" s="471"/>
      <c r="H156" s="5"/>
    </row>
    <row r="157" spans="2:8" ht="35.25" customHeight="1">
      <c r="B157" s="470" t="s">
        <v>263</v>
      </c>
      <c r="C157" s="470"/>
      <c r="D157" s="113">
        <v>12</v>
      </c>
      <c r="E157" s="471">
        <f>F153*D157</f>
        <v>50193.84</v>
      </c>
      <c r="F157" s="471"/>
      <c r="H157" s="5"/>
    </row>
  </sheetData>
  <mergeCells count="150">
    <mergeCell ref="B157:C157"/>
    <mergeCell ref="E157:F157"/>
    <mergeCell ref="C151:E151"/>
    <mergeCell ref="B152:E152"/>
    <mergeCell ref="B153:E153"/>
    <mergeCell ref="B155:C155"/>
    <mergeCell ref="E155:F155"/>
    <mergeCell ref="B156:C156"/>
    <mergeCell ref="E156:F156"/>
    <mergeCell ref="B145:E145"/>
    <mergeCell ref="C146:E146"/>
    <mergeCell ref="C147:E147"/>
    <mergeCell ref="C148:E148"/>
    <mergeCell ref="C149:E149"/>
    <mergeCell ref="B150:E150"/>
    <mergeCell ref="B138:D138"/>
    <mergeCell ref="B139:D139"/>
    <mergeCell ref="C140:F140"/>
    <mergeCell ref="C141:F141"/>
    <mergeCell ref="C142:F142"/>
    <mergeCell ref="B144:F144"/>
    <mergeCell ref="C129:D129"/>
    <mergeCell ref="C130:D130"/>
    <mergeCell ref="B132:D132"/>
    <mergeCell ref="B133:B137"/>
    <mergeCell ref="C133:F133"/>
    <mergeCell ref="C134:C135"/>
    <mergeCell ref="C123:D123"/>
    <mergeCell ref="C124:D124"/>
    <mergeCell ref="C125:D125"/>
    <mergeCell ref="B126:D126"/>
    <mergeCell ref="B128:C128"/>
    <mergeCell ref="D128:F128"/>
    <mergeCell ref="B118:C118"/>
    <mergeCell ref="D118:F118"/>
    <mergeCell ref="C119:D119"/>
    <mergeCell ref="C120:D120"/>
    <mergeCell ref="C121:D121"/>
    <mergeCell ref="C122:D122"/>
    <mergeCell ref="C110:D110"/>
    <mergeCell ref="C111:D111"/>
    <mergeCell ref="C112:D112"/>
    <mergeCell ref="B114:D114"/>
    <mergeCell ref="C115:D115"/>
    <mergeCell ref="B116:D116"/>
    <mergeCell ref="B104:C104"/>
    <mergeCell ref="D104:F104"/>
    <mergeCell ref="C105:D105"/>
    <mergeCell ref="C106:D106"/>
    <mergeCell ref="C107:D107"/>
    <mergeCell ref="C109:D109"/>
    <mergeCell ref="C97:D97"/>
    <mergeCell ref="C98:D98"/>
    <mergeCell ref="C99:D99"/>
    <mergeCell ref="B100:D100"/>
    <mergeCell ref="C101:F101"/>
    <mergeCell ref="C102:F102"/>
    <mergeCell ref="B92:C92"/>
    <mergeCell ref="D92:F92"/>
    <mergeCell ref="C93:D93"/>
    <mergeCell ref="C94:D94"/>
    <mergeCell ref="C95:D95"/>
    <mergeCell ref="C96:D96"/>
    <mergeCell ref="B86:C86"/>
    <mergeCell ref="D86:F86"/>
    <mergeCell ref="C87:D87"/>
    <mergeCell ref="C88:D88"/>
    <mergeCell ref="C89:D89"/>
    <mergeCell ref="B90:D90"/>
    <mergeCell ref="C79:D79"/>
    <mergeCell ref="C80:D80"/>
    <mergeCell ref="C81:D81"/>
    <mergeCell ref="B82:D82"/>
    <mergeCell ref="C83:D83"/>
    <mergeCell ref="B84:D84"/>
    <mergeCell ref="C72:D72"/>
    <mergeCell ref="C73:D73"/>
    <mergeCell ref="B74:D74"/>
    <mergeCell ref="C75:F75"/>
    <mergeCell ref="C76:F76"/>
    <mergeCell ref="B78:C78"/>
    <mergeCell ref="D78:F78"/>
    <mergeCell ref="C66:D66"/>
    <mergeCell ref="C67:D67"/>
    <mergeCell ref="C68:D68"/>
    <mergeCell ref="C69:D69"/>
    <mergeCell ref="C70:D70"/>
    <mergeCell ref="C71:D71"/>
    <mergeCell ref="C61:F61"/>
    <mergeCell ref="B63:C63"/>
    <mergeCell ref="D63:F63"/>
    <mergeCell ref="B64:C64"/>
    <mergeCell ref="D64:F64"/>
    <mergeCell ref="C65:D65"/>
    <mergeCell ref="C55:E55"/>
    <mergeCell ref="C56:E56"/>
    <mergeCell ref="C57:E57"/>
    <mergeCell ref="C58:E58"/>
    <mergeCell ref="C59:E59"/>
    <mergeCell ref="B60:E60"/>
    <mergeCell ref="B47:E47"/>
    <mergeCell ref="C48:F48"/>
    <mergeCell ref="B49:B52"/>
    <mergeCell ref="C49:F52"/>
    <mergeCell ref="B54:C54"/>
    <mergeCell ref="D54:F54"/>
    <mergeCell ref="C41:E41"/>
    <mergeCell ref="C42:E42"/>
    <mergeCell ref="C43:E43"/>
    <mergeCell ref="C44:E44"/>
    <mergeCell ref="C45:E45"/>
    <mergeCell ref="C46:E46"/>
    <mergeCell ref="C28:E28"/>
    <mergeCell ref="C36:D36"/>
    <mergeCell ref="B37:D37"/>
    <mergeCell ref="B39:C39"/>
    <mergeCell ref="D39:F39"/>
    <mergeCell ref="C40:E40"/>
    <mergeCell ref="C22:E22"/>
    <mergeCell ref="C23:E23"/>
    <mergeCell ref="C24:E24"/>
    <mergeCell ref="C25:E25"/>
    <mergeCell ref="C26:F26"/>
    <mergeCell ref="B27:C27"/>
    <mergeCell ref="D27:F27"/>
    <mergeCell ref="B16:C16"/>
    <mergeCell ref="E16:F16"/>
    <mergeCell ref="B18:F18"/>
    <mergeCell ref="B19:F19"/>
    <mergeCell ref="B20:F20"/>
    <mergeCell ref="B21:F21"/>
    <mergeCell ref="B14:F14"/>
    <mergeCell ref="B15:C15"/>
    <mergeCell ref="E15:F15"/>
    <mergeCell ref="B8:C8"/>
    <mergeCell ref="E8:F8"/>
    <mergeCell ref="B9:F9"/>
    <mergeCell ref="C10:D10"/>
    <mergeCell ref="E10:F10"/>
    <mergeCell ref="C11:D11"/>
    <mergeCell ref="E11:F11"/>
    <mergeCell ref="E2:F2"/>
    <mergeCell ref="B3:F3"/>
    <mergeCell ref="B4:F4"/>
    <mergeCell ref="E5:F5"/>
    <mergeCell ref="E6:F6"/>
    <mergeCell ref="B7:F7"/>
    <mergeCell ref="E12:F12"/>
    <mergeCell ref="C13:D13"/>
    <mergeCell ref="E13:F13"/>
  </mergeCells>
  <pageMargins left="0.511811024" right="0.511811024" top="0.78740157499999996" bottom="0.78740157499999996" header="0.31496062000000002" footer="0.31496062000000002"/>
  <pageSetup paperSize="9" scale="52" orientation="portrait" r:id="rId1"/>
  <rowBreaks count="2" manualBreakCount="2">
    <brk id="41" max="16383" man="1"/>
    <brk id="90" max="16383" man="1"/>
  </rowBreaks>
  <colBreaks count="1" manualBreakCount="1">
    <brk id="7" max="1048575" man="1"/>
  </colBreaks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D00-000000000000}">
          <x14:formula1>
            <xm:f>'#listas#'!$E$1:$E$22</xm:f>
          </x14:formula1>
          <xm:sqref>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2:W9"/>
  <sheetViews>
    <sheetView showGridLines="0" workbookViewId="0">
      <selection activeCell="B17" sqref="B17"/>
    </sheetView>
  </sheetViews>
  <sheetFormatPr defaultColWidth="8.85546875" defaultRowHeight="15"/>
  <cols>
    <col min="1" max="1" width="14.42578125" bestFit="1" customWidth="1"/>
    <col min="2" max="3" width="9.140625" bestFit="1" customWidth="1"/>
    <col min="4" max="4" width="4.42578125" bestFit="1" customWidth="1"/>
    <col min="5" max="7" width="9.140625" bestFit="1" customWidth="1"/>
    <col min="8" max="9" width="4.42578125" bestFit="1" customWidth="1"/>
    <col min="10" max="10" width="9.140625" bestFit="1" customWidth="1"/>
    <col min="11" max="11" width="4.42578125" bestFit="1" customWidth="1"/>
    <col min="12" max="12" width="5.85546875" bestFit="1" customWidth="1"/>
    <col min="13" max="13" width="5.28515625" bestFit="1" customWidth="1"/>
    <col min="14" max="14" width="10.140625" bestFit="1" customWidth="1"/>
    <col min="15" max="15" width="4.42578125" bestFit="1" customWidth="1"/>
    <col min="16" max="16" width="9.140625" bestFit="1" customWidth="1"/>
    <col min="17" max="18" width="10.140625" bestFit="1" customWidth="1"/>
    <col min="19" max="20" width="9.140625" bestFit="1" customWidth="1"/>
    <col min="21" max="21" width="4.42578125" bestFit="1" customWidth="1"/>
    <col min="22" max="23" width="9.140625" bestFit="1" customWidth="1"/>
  </cols>
  <sheetData>
    <row r="2" spans="1:23">
      <c r="B2" t="e">
        <f>'[1]5 Insumos'!AX$4</f>
        <v>#REF!</v>
      </c>
      <c r="C2" t="e">
        <f>'[1]5 Insumos'!AY$4</f>
        <v>#REF!</v>
      </c>
      <c r="D2" t="e">
        <f>'[1]5 Insumos'!AZ$4</f>
        <v>#REF!</v>
      </c>
      <c r="E2" t="e">
        <f>'[1]5 Insumos'!BA$4</f>
        <v>#REF!</v>
      </c>
      <c r="F2" t="e">
        <f>'[1]5 Insumos'!BB$4</f>
        <v>#REF!</v>
      </c>
      <c r="G2" t="e">
        <f>'[1]5 Insumos'!BC$4</f>
        <v>#REF!</v>
      </c>
      <c r="H2" t="e">
        <f>'[1]5 Insumos'!BD$4</f>
        <v>#REF!</v>
      </c>
      <c r="I2" t="e">
        <f>'[1]5 Insumos'!BE$4</f>
        <v>#REF!</v>
      </c>
      <c r="J2" t="e">
        <f>'[1]5 Insumos'!BF$4</f>
        <v>#REF!</v>
      </c>
      <c r="K2" t="e">
        <f>'[1]5 Insumos'!BG$4</f>
        <v>#REF!</v>
      </c>
      <c r="L2" t="e">
        <f>'[1]5 Insumos'!BH$4</f>
        <v>#REF!</v>
      </c>
      <c r="M2" t="e">
        <f>'[1]5 Insumos'!BI$4</f>
        <v>#REF!</v>
      </c>
      <c r="N2" t="e">
        <f>'[1]5 Insumos'!BJ$4</f>
        <v>#REF!</v>
      </c>
      <c r="O2" t="e">
        <f>'[1]5 Insumos'!BK$4</f>
        <v>#REF!</v>
      </c>
      <c r="P2" t="e">
        <f>'[1]5 Insumos'!BL$4</f>
        <v>#REF!</v>
      </c>
      <c r="Q2" t="e">
        <f>'[1]5 Insumos'!BM$4</f>
        <v>#REF!</v>
      </c>
      <c r="R2" t="e">
        <f>'[1]5 Insumos'!BN$4</f>
        <v>#REF!</v>
      </c>
      <c r="S2" t="e">
        <f>'[1]5 Insumos'!BO$4</f>
        <v>#REF!</v>
      </c>
      <c r="T2" t="e">
        <f>'[1]5 Insumos'!BP$4</f>
        <v>#REF!</v>
      </c>
      <c r="U2" t="e">
        <f>'[1]5 Insumos'!BQ$4</f>
        <v>#REF!</v>
      </c>
      <c r="V2" t="e">
        <f>'[1]5 Insumos'!BR$4</f>
        <v>#REF!</v>
      </c>
      <c r="W2" t="e">
        <f>'[1]5 Insumos'!BS$4</f>
        <v>#REF!</v>
      </c>
    </row>
    <row r="3" spans="1:23" s="2" customFormat="1">
      <c r="A3" s="2" t="s">
        <v>53</v>
      </c>
      <c r="B3" s="2" t="e">
        <f>#REF!</f>
        <v>#REF!</v>
      </c>
      <c r="C3" s="2" t="e">
        <f>#REF!</f>
        <v>#REF!</v>
      </c>
      <c r="D3" s="2" t="e">
        <f>#REF!</f>
        <v>#REF!</v>
      </c>
      <c r="E3" s="2" t="e">
        <f>#REF!</f>
        <v>#REF!</v>
      </c>
      <c r="F3" s="2" t="e">
        <f>#REF!</f>
        <v>#REF!</v>
      </c>
      <c r="G3" s="2" t="e">
        <f>#REF!</f>
        <v>#REF!</v>
      </c>
      <c r="H3" s="2" t="e">
        <f>#REF!</f>
        <v>#REF!</v>
      </c>
      <c r="I3" s="2" t="e">
        <f>#REF!</f>
        <v>#REF!</v>
      </c>
      <c r="J3" s="2" t="e">
        <f>#REF!</f>
        <v>#REF!</v>
      </c>
      <c r="K3" s="2" t="e">
        <f>#REF!</f>
        <v>#REF!</v>
      </c>
      <c r="L3" s="2" t="e">
        <f>#REF!</f>
        <v>#REF!</v>
      </c>
      <c r="M3" s="2" t="e">
        <f>#REF!</f>
        <v>#REF!</v>
      </c>
      <c r="N3" s="2" t="e">
        <f>#REF!</f>
        <v>#REF!</v>
      </c>
      <c r="O3" s="2" t="e">
        <f>#REF!</f>
        <v>#REF!</v>
      </c>
      <c r="P3" s="2" t="e">
        <f>#REF!</f>
        <v>#REF!</v>
      </c>
      <c r="Q3" s="2" t="e">
        <f>#REF!</f>
        <v>#REF!</v>
      </c>
      <c r="R3" s="2" t="e">
        <f>#REF!</f>
        <v>#REF!</v>
      </c>
      <c r="S3" s="2" t="e">
        <f>#REF!</f>
        <v>#REF!</v>
      </c>
      <c r="T3" s="2" t="e">
        <f>#REF!</f>
        <v>#REF!</v>
      </c>
      <c r="U3" s="2" t="e">
        <f>#REF!</f>
        <v>#REF!</v>
      </c>
      <c r="V3" s="2" t="e">
        <f>#REF!</f>
        <v>#REF!</v>
      </c>
      <c r="W3" s="2" t="e">
        <f>#REF!</f>
        <v>#REF!</v>
      </c>
    </row>
    <row r="4" spans="1:23" s="2" customFormat="1">
      <c r="B4" s="2" t="e">
        <f>B3/12</f>
        <v>#REF!</v>
      </c>
      <c r="C4" s="2" t="e">
        <f t="shared" ref="C4:W4" si="0">C3/12</f>
        <v>#REF!</v>
      </c>
      <c r="D4" s="2" t="e">
        <f t="shared" si="0"/>
        <v>#REF!</v>
      </c>
      <c r="E4" s="2" t="e">
        <f t="shared" si="0"/>
        <v>#REF!</v>
      </c>
      <c r="F4" s="2" t="e">
        <f t="shared" si="0"/>
        <v>#REF!</v>
      </c>
      <c r="G4" s="2" t="e">
        <f t="shared" si="0"/>
        <v>#REF!</v>
      </c>
      <c r="H4" s="2" t="e">
        <f t="shared" si="0"/>
        <v>#REF!</v>
      </c>
      <c r="I4" s="2" t="e">
        <f t="shared" si="0"/>
        <v>#REF!</v>
      </c>
      <c r="J4" s="2" t="e">
        <f t="shared" si="0"/>
        <v>#REF!</v>
      </c>
      <c r="K4" s="2" t="e">
        <f t="shared" si="0"/>
        <v>#REF!</v>
      </c>
      <c r="L4" s="2" t="e">
        <f t="shared" si="0"/>
        <v>#REF!</v>
      </c>
      <c r="M4" s="2" t="e">
        <f t="shared" si="0"/>
        <v>#REF!</v>
      </c>
      <c r="N4" s="2" t="e">
        <f t="shared" si="0"/>
        <v>#REF!</v>
      </c>
      <c r="O4" s="2" t="e">
        <f t="shared" si="0"/>
        <v>#REF!</v>
      </c>
      <c r="P4" s="2" t="e">
        <f t="shared" si="0"/>
        <v>#REF!</v>
      </c>
      <c r="Q4" s="2" t="e">
        <f t="shared" si="0"/>
        <v>#REF!</v>
      </c>
      <c r="R4" s="2" t="e">
        <f t="shared" si="0"/>
        <v>#REF!</v>
      </c>
      <c r="S4" s="2" t="e">
        <f t="shared" si="0"/>
        <v>#REF!</v>
      </c>
      <c r="T4" s="2" t="e">
        <f t="shared" si="0"/>
        <v>#REF!</v>
      </c>
      <c r="U4" s="2" t="e">
        <f t="shared" si="0"/>
        <v>#REF!</v>
      </c>
      <c r="V4" s="2" t="e">
        <f t="shared" si="0"/>
        <v>#REF!</v>
      </c>
      <c r="W4" s="2" t="e">
        <f t="shared" si="0"/>
        <v>#REF!</v>
      </c>
    </row>
    <row r="7" spans="1:23">
      <c r="A7" t="s">
        <v>54</v>
      </c>
      <c r="B7" t="e">
        <f>'[1]5 Insumos'!AX$4</f>
        <v>#REF!</v>
      </c>
      <c r="C7" t="e">
        <f>'[1]5 Insumos'!AY$4</f>
        <v>#REF!</v>
      </c>
      <c r="D7" t="e">
        <f>'[1]5 Insumos'!AZ$4</f>
        <v>#REF!</v>
      </c>
      <c r="E7" t="e">
        <f>'[1]5 Insumos'!BA$4</f>
        <v>#REF!</v>
      </c>
      <c r="F7" t="e">
        <f>'[1]5 Insumos'!BB$4</f>
        <v>#REF!</v>
      </c>
      <c r="G7" t="e">
        <f>'[1]5 Insumos'!BC$4</f>
        <v>#REF!</v>
      </c>
      <c r="H7" t="e">
        <f>'[1]5 Insumos'!BD$4</f>
        <v>#REF!</v>
      </c>
      <c r="I7" t="e">
        <f>'[1]5 Insumos'!BE$4</f>
        <v>#REF!</v>
      </c>
      <c r="J7" t="e">
        <f>'[1]5 Insumos'!BF$4</f>
        <v>#REF!</v>
      </c>
      <c r="K7" t="e">
        <f>'[1]5 Insumos'!BG$4</f>
        <v>#REF!</v>
      </c>
      <c r="L7" t="e">
        <f>'[1]5 Insumos'!BH$4</f>
        <v>#REF!</v>
      </c>
      <c r="M7" t="e">
        <f>'[1]5 Insumos'!BI$4</f>
        <v>#REF!</v>
      </c>
      <c r="N7" t="e">
        <f>'[1]5 Insumos'!BJ$4</f>
        <v>#REF!</v>
      </c>
      <c r="O7" t="e">
        <f>'[1]5 Insumos'!BK$4</f>
        <v>#REF!</v>
      </c>
      <c r="P7" t="e">
        <f>'[1]5 Insumos'!BL$4</f>
        <v>#REF!</v>
      </c>
      <c r="Q7" t="e">
        <f>'[1]5 Insumos'!BM$4</f>
        <v>#REF!</v>
      </c>
      <c r="R7" t="e">
        <f>'[1]5 Insumos'!BN$4</f>
        <v>#REF!</v>
      </c>
      <c r="S7" t="e">
        <f>'[1]5 Insumos'!BO$4</f>
        <v>#REF!</v>
      </c>
      <c r="T7" t="e">
        <f>'[1]5 Insumos'!BP$4</f>
        <v>#REF!</v>
      </c>
      <c r="U7" t="e">
        <f>'[1]5 Insumos'!BQ$4</f>
        <v>#REF!</v>
      </c>
      <c r="V7" t="e">
        <f>'[1]5 Insumos'!BR$4</f>
        <v>#REF!</v>
      </c>
      <c r="W7" t="e">
        <f>'[1]5 Insumos'!BS$4</f>
        <v>#REF!</v>
      </c>
    </row>
    <row r="8" spans="1:23">
      <c r="B8" t="e">
        <f>#REF!</f>
        <v>#REF!</v>
      </c>
      <c r="C8" t="e">
        <f>#REF!</f>
        <v>#REF!</v>
      </c>
      <c r="D8" t="e">
        <f>#REF!</f>
        <v>#REF!</v>
      </c>
      <c r="E8" t="e">
        <f>#REF!</f>
        <v>#REF!</v>
      </c>
      <c r="F8" t="e">
        <f>#REF!</f>
        <v>#REF!</v>
      </c>
      <c r="G8" t="e">
        <f>#REF!</f>
        <v>#REF!</v>
      </c>
      <c r="H8" t="e">
        <f>#REF!</f>
        <v>#REF!</v>
      </c>
      <c r="I8" t="e">
        <f>#REF!</f>
        <v>#REF!</v>
      </c>
      <c r="J8" t="e">
        <f>#REF!</f>
        <v>#REF!</v>
      </c>
      <c r="K8" t="e">
        <f>#REF!</f>
        <v>#REF!</v>
      </c>
      <c r="L8" t="e">
        <f>#REF!</f>
        <v>#REF!</v>
      </c>
      <c r="M8" t="e">
        <f>#REF!</f>
        <v>#REF!</v>
      </c>
      <c r="N8" t="e">
        <f>#REF!</f>
        <v>#REF!</v>
      </c>
      <c r="O8" t="e">
        <f>#REF!</f>
        <v>#REF!</v>
      </c>
      <c r="P8" t="e">
        <f>#REF!</f>
        <v>#REF!</v>
      </c>
      <c r="Q8" t="e">
        <f>#REF!</f>
        <v>#REF!</v>
      </c>
      <c r="R8" t="e">
        <f>#REF!</f>
        <v>#REF!</v>
      </c>
      <c r="S8" t="e">
        <f>#REF!</f>
        <v>#REF!</v>
      </c>
      <c r="T8" t="e">
        <f>#REF!</f>
        <v>#REF!</v>
      </c>
      <c r="U8" t="e">
        <f>#REF!</f>
        <v>#REF!</v>
      </c>
      <c r="V8" t="e">
        <f>#REF!</f>
        <v>#REF!</v>
      </c>
      <c r="W8" t="e">
        <f>#REF!</f>
        <v>#REF!</v>
      </c>
    </row>
    <row r="9" spans="1:23">
      <c r="B9" s="2" t="e">
        <f>B8/12</f>
        <v>#REF!</v>
      </c>
      <c r="C9" s="2" t="e">
        <f t="shared" ref="C9:W9" si="1">C8/12</f>
        <v>#REF!</v>
      </c>
      <c r="D9" s="2" t="e">
        <f t="shared" si="1"/>
        <v>#REF!</v>
      </c>
      <c r="E9" s="2" t="e">
        <f t="shared" si="1"/>
        <v>#REF!</v>
      </c>
      <c r="F9" s="2" t="e">
        <f t="shared" si="1"/>
        <v>#REF!</v>
      </c>
      <c r="G9" s="2" t="e">
        <f t="shared" si="1"/>
        <v>#REF!</v>
      </c>
      <c r="H9" s="2" t="e">
        <f t="shared" si="1"/>
        <v>#REF!</v>
      </c>
      <c r="I9" s="2" t="e">
        <f t="shared" si="1"/>
        <v>#REF!</v>
      </c>
      <c r="J9" s="2" t="e">
        <f t="shared" si="1"/>
        <v>#REF!</v>
      </c>
      <c r="K9" s="2" t="e">
        <f t="shared" si="1"/>
        <v>#REF!</v>
      </c>
      <c r="L9" s="2" t="e">
        <f t="shared" si="1"/>
        <v>#REF!</v>
      </c>
      <c r="M9" s="2" t="e">
        <f t="shared" si="1"/>
        <v>#REF!</v>
      </c>
      <c r="N9" s="2" t="e">
        <f t="shared" si="1"/>
        <v>#REF!</v>
      </c>
      <c r="O9" s="2" t="e">
        <f t="shared" si="1"/>
        <v>#REF!</v>
      </c>
      <c r="P9" s="2" t="e">
        <f t="shared" si="1"/>
        <v>#REF!</v>
      </c>
      <c r="Q9" s="2" t="e">
        <f t="shared" si="1"/>
        <v>#REF!</v>
      </c>
      <c r="R9" s="2" t="e">
        <f t="shared" si="1"/>
        <v>#REF!</v>
      </c>
      <c r="S9" s="2" t="e">
        <f t="shared" si="1"/>
        <v>#REF!</v>
      </c>
      <c r="T9" s="2" t="e">
        <f t="shared" si="1"/>
        <v>#REF!</v>
      </c>
      <c r="U9" s="2" t="e">
        <f t="shared" si="1"/>
        <v>#REF!</v>
      </c>
      <c r="V9" s="2" t="e">
        <f t="shared" si="1"/>
        <v>#REF!</v>
      </c>
      <c r="W9" s="2" t="e">
        <f t="shared" si="1"/>
        <v>#REF!</v>
      </c>
    </row>
  </sheetData>
  <pageMargins left="0.511811024" right="0.511811024" top="0.78740157499999996" bottom="0.78740157499999996" header="0.31496062000000002" footer="0.31496062000000002"/>
</worksheet>
</file>

<file path=xl/worksheets/sheet20.xml><?xml version="1.0" encoding="utf-8"?>
<worksheet xmlns="http://schemas.openxmlformats.org/spreadsheetml/2006/main" xmlns:r="http://schemas.openxmlformats.org/officeDocument/2006/relationships">
  <dimension ref="B1:H157"/>
  <sheetViews>
    <sheetView showGridLines="0" view="pageBreakPreview" zoomScaleNormal="115" zoomScaleSheetLayoutView="100" workbookViewId="0">
      <selection activeCell="C49" sqref="C49:F52"/>
    </sheetView>
  </sheetViews>
  <sheetFormatPr defaultColWidth="9.140625" defaultRowHeight="15" customHeight="1"/>
  <cols>
    <col min="1" max="1" width="4.42578125" style="5" customWidth="1"/>
    <col min="2" max="2" width="12.85546875" style="44" customWidth="1"/>
    <col min="3" max="3" width="43.42578125" style="44" customWidth="1"/>
    <col min="4" max="4" width="18.85546875" style="44" bestFit="1" customWidth="1"/>
    <col min="5" max="5" width="10.140625" style="85" bestFit="1" customWidth="1"/>
    <col min="6" max="6" width="11.7109375" style="45" customWidth="1"/>
    <col min="7" max="7" width="3.28515625" style="5" customWidth="1"/>
    <col min="8" max="8" width="12.140625" style="52" customWidth="1"/>
    <col min="9" max="16384" width="9.140625" style="5"/>
  </cols>
  <sheetData>
    <row r="1" spans="2:8" ht="15" customHeight="1">
      <c r="H1" s="47"/>
    </row>
    <row r="2" spans="2:8" s="49" customFormat="1" ht="15" customHeight="1">
      <c r="B2" s="8" t="s">
        <v>55</v>
      </c>
      <c r="C2" s="50" t="s">
        <v>21</v>
      </c>
      <c r="D2" s="8" t="s">
        <v>59</v>
      </c>
      <c r="E2" s="462"/>
      <c r="F2" s="462"/>
      <c r="H2" s="51"/>
    </row>
    <row r="3" spans="2:8" ht="21">
      <c r="B3" s="466"/>
      <c r="C3" s="466"/>
      <c r="D3" s="466"/>
      <c r="E3" s="466"/>
      <c r="F3" s="466"/>
    </row>
    <row r="4" spans="2:8" ht="15" customHeight="1">
      <c r="B4" s="362" t="s">
        <v>60</v>
      </c>
      <c r="C4" s="362"/>
      <c r="D4" s="362"/>
      <c r="E4" s="362"/>
      <c r="F4" s="362"/>
    </row>
    <row r="5" spans="2:8" ht="15" customHeight="1">
      <c r="B5" s="34" t="s">
        <v>62</v>
      </c>
      <c r="C5" s="30"/>
      <c r="D5" s="103" t="s">
        <v>63</v>
      </c>
      <c r="E5" s="468"/>
      <c r="F5" s="468"/>
    </row>
    <row r="6" spans="2:8" ht="15" customHeight="1">
      <c r="B6" s="34" t="s">
        <v>65</v>
      </c>
      <c r="C6" s="31"/>
      <c r="D6" s="34" t="s">
        <v>66</v>
      </c>
      <c r="E6" s="468"/>
      <c r="F6" s="468"/>
    </row>
    <row r="7" spans="2:8" ht="15" customHeight="1">
      <c r="B7" s="362" t="s">
        <v>67</v>
      </c>
      <c r="C7" s="362"/>
      <c r="D7" s="362"/>
      <c r="E7" s="362"/>
      <c r="F7" s="362"/>
    </row>
    <row r="8" spans="2:8" ht="15" customHeight="1">
      <c r="B8" s="459" t="s">
        <v>69</v>
      </c>
      <c r="C8" s="460"/>
      <c r="D8" s="34" t="s">
        <v>70</v>
      </c>
      <c r="E8" s="354"/>
      <c r="F8" s="355"/>
    </row>
    <row r="9" spans="2:8" ht="15" customHeight="1">
      <c r="B9" s="362" t="s">
        <v>75</v>
      </c>
      <c r="C9" s="362"/>
      <c r="D9" s="362"/>
      <c r="E9" s="362"/>
      <c r="F9" s="362"/>
    </row>
    <row r="10" spans="2:8" ht="15" customHeight="1">
      <c r="B10" s="34" t="s">
        <v>78</v>
      </c>
      <c r="C10" s="290" t="s">
        <v>79</v>
      </c>
      <c r="D10" s="291"/>
      <c r="E10" s="461"/>
      <c r="F10" s="461"/>
    </row>
    <row r="11" spans="2:8" ht="15" customHeight="1">
      <c r="B11" s="34" t="s">
        <v>83</v>
      </c>
      <c r="C11" s="290" t="s">
        <v>84</v>
      </c>
      <c r="D11" s="291"/>
      <c r="E11" s="300" t="s">
        <v>85</v>
      </c>
      <c r="F11" s="302"/>
    </row>
    <row r="12" spans="2:8" ht="15" customHeight="1">
      <c r="B12" s="34" t="s">
        <v>86</v>
      </c>
      <c r="C12" s="53" t="s">
        <v>87</v>
      </c>
      <c r="D12" s="54"/>
      <c r="E12" s="300" t="s">
        <v>282</v>
      </c>
      <c r="F12" s="302"/>
    </row>
    <row r="13" spans="2:8" ht="15" customHeight="1">
      <c r="B13" s="34" t="s">
        <v>88</v>
      </c>
      <c r="C13" s="322" t="s">
        <v>89</v>
      </c>
      <c r="D13" s="328"/>
      <c r="E13" s="300">
        <v>12</v>
      </c>
      <c r="F13" s="302"/>
    </row>
    <row r="14" spans="2:8" ht="15" customHeight="1">
      <c r="B14" s="362" t="s">
        <v>90</v>
      </c>
      <c r="C14" s="362"/>
      <c r="D14" s="362"/>
      <c r="E14" s="362"/>
      <c r="F14" s="362"/>
    </row>
    <row r="15" spans="2:8" ht="15" customHeight="1">
      <c r="B15" s="451" t="s">
        <v>91</v>
      </c>
      <c r="C15" s="451"/>
      <c r="D15" s="32" t="s">
        <v>92</v>
      </c>
      <c r="E15" s="452" t="s">
        <v>243</v>
      </c>
      <c r="F15" s="453"/>
    </row>
    <row r="16" spans="2:8" ht="15" customHeight="1">
      <c r="B16" s="455" t="s">
        <v>269</v>
      </c>
      <c r="C16" s="455"/>
      <c r="D16" s="9" t="s">
        <v>95</v>
      </c>
      <c r="E16" s="456">
        <v>2</v>
      </c>
      <c r="F16" s="456"/>
      <c r="H16" s="5"/>
    </row>
    <row r="17" spans="2:8" ht="15" customHeight="1">
      <c r="H17" s="5"/>
    </row>
    <row r="18" spans="2:8" ht="12.75" customHeight="1">
      <c r="B18" s="450"/>
      <c r="C18" s="450"/>
      <c r="D18" s="450"/>
      <c r="E18" s="450"/>
      <c r="F18" s="450"/>
      <c r="H18" s="5"/>
    </row>
    <row r="19" spans="2:8" ht="15" customHeight="1">
      <c r="B19" s="362" t="s">
        <v>71</v>
      </c>
      <c r="C19" s="362"/>
      <c r="D19" s="362"/>
      <c r="E19" s="362"/>
      <c r="F19" s="362"/>
      <c r="H19" s="5"/>
    </row>
    <row r="20" spans="2:8" ht="15" customHeight="1">
      <c r="B20" s="362" t="s">
        <v>96</v>
      </c>
      <c r="C20" s="362"/>
      <c r="D20" s="362"/>
      <c r="E20" s="362"/>
      <c r="F20" s="362"/>
      <c r="H20" s="5"/>
    </row>
    <row r="21" spans="2:8" ht="15" customHeight="1">
      <c r="B21" s="437" t="s">
        <v>98</v>
      </c>
      <c r="C21" s="437"/>
      <c r="D21" s="437"/>
      <c r="E21" s="437"/>
      <c r="F21" s="437"/>
      <c r="H21" s="5"/>
    </row>
    <row r="22" spans="2:8" ht="15" customHeight="1">
      <c r="B22" s="34">
        <v>1</v>
      </c>
      <c r="C22" s="449" t="s">
        <v>99</v>
      </c>
      <c r="D22" s="449"/>
      <c r="E22" s="449"/>
      <c r="F22" s="56"/>
      <c r="H22" s="5"/>
    </row>
    <row r="23" spans="2:8" ht="15" customHeight="1">
      <c r="B23" s="34">
        <v>2</v>
      </c>
      <c r="C23" s="437" t="s">
        <v>100</v>
      </c>
      <c r="D23" s="437"/>
      <c r="E23" s="437"/>
      <c r="F23" s="57">
        <v>965</v>
      </c>
      <c r="H23" s="5"/>
    </row>
    <row r="24" spans="2:8" ht="15" customHeight="1">
      <c r="B24" s="34">
        <v>3</v>
      </c>
      <c r="C24" s="437" t="s">
        <v>101</v>
      </c>
      <c r="D24" s="437"/>
      <c r="E24" s="437"/>
      <c r="F24" s="56"/>
      <c r="H24" s="5"/>
    </row>
    <row r="25" spans="2:8" ht="15" customHeight="1">
      <c r="B25" s="34">
        <v>4</v>
      </c>
      <c r="C25" s="437" t="s">
        <v>102</v>
      </c>
      <c r="D25" s="437"/>
      <c r="E25" s="437"/>
      <c r="F25" s="58">
        <v>42736</v>
      </c>
      <c r="H25" s="5"/>
    </row>
    <row r="26" spans="2:8" ht="15" customHeight="1">
      <c r="B26" s="37" t="s">
        <v>103</v>
      </c>
      <c r="C26" s="438" t="s">
        <v>104</v>
      </c>
      <c r="D26" s="438"/>
      <c r="E26" s="438"/>
      <c r="F26" s="438"/>
      <c r="H26" s="5"/>
    </row>
    <row r="27" spans="2:8" ht="15" customHeight="1">
      <c r="B27" s="362" t="s">
        <v>105</v>
      </c>
      <c r="C27" s="362"/>
      <c r="D27" s="362" t="s">
        <v>106</v>
      </c>
      <c r="E27" s="362"/>
      <c r="F27" s="362"/>
      <c r="H27" s="5"/>
    </row>
    <row r="28" spans="2:8" ht="15" customHeight="1">
      <c r="B28" s="101">
        <v>1</v>
      </c>
      <c r="C28" s="362" t="s">
        <v>107</v>
      </c>
      <c r="D28" s="362"/>
      <c r="E28" s="362"/>
      <c r="F28" s="68" t="s">
        <v>108</v>
      </c>
      <c r="H28" s="5"/>
    </row>
    <row r="29" spans="2:8" ht="15" customHeight="1">
      <c r="B29" s="34" t="s">
        <v>78</v>
      </c>
      <c r="C29" s="59" t="s">
        <v>109</v>
      </c>
      <c r="D29" s="60"/>
      <c r="E29" s="80"/>
      <c r="F29" s="61">
        <f>F23</f>
        <v>965</v>
      </c>
      <c r="H29" s="5"/>
    </row>
    <row r="30" spans="2:8" ht="15" customHeight="1">
      <c r="B30" s="34" t="s">
        <v>83</v>
      </c>
      <c r="C30" s="59" t="s">
        <v>110</v>
      </c>
      <c r="D30" s="60"/>
      <c r="E30" s="80"/>
      <c r="F30" s="61">
        <f t="shared" ref="F30:F36" si="0">$F$29*E30</f>
        <v>0</v>
      </c>
      <c r="H30" s="5"/>
    </row>
    <row r="31" spans="2:8" ht="15" customHeight="1">
      <c r="B31" s="34" t="s">
        <v>86</v>
      </c>
      <c r="C31" s="59" t="s">
        <v>111</v>
      </c>
      <c r="D31" s="60"/>
      <c r="E31" s="81"/>
      <c r="F31" s="61">
        <f t="shared" si="0"/>
        <v>0</v>
      </c>
      <c r="H31" s="5"/>
    </row>
    <row r="32" spans="2:8" ht="15" customHeight="1">
      <c r="B32" s="34" t="s">
        <v>88</v>
      </c>
      <c r="C32" s="59" t="s">
        <v>112</v>
      </c>
      <c r="D32" s="60"/>
      <c r="E32" s="80"/>
      <c r="F32" s="61">
        <f t="shared" si="0"/>
        <v>0</v>
      </c>
      <c r="H32" s="5"/>
    </row>
    <row r="33" spans="2:8" ht="15" customHeight="1">
      <c r="B33" s="34" t="s">
        <v>113</v>
      </c>
      <c r="C33" s="59" t="s">
        <v>114</v>
      </c>
      <c r="D33" s="60"/>
      <c r="E33" s="80"/>
      <c r="F33" s="61">
        <f t="shared" si="0"/>
        <v>0</v>
      </c>
      <c r="H33" s="5"/>
    </row>
    <row r="34" spans="2:8" ht="15" customHeight="1">
      <c r="B34" s="34" t="s">
        <v>116</v>
      </c>
      <c r="C34" s="59" t="s">
        <v>117</v>
      </c>
      <c r="D34" s="60"/>
      <c r="E34" s="80"/>
      <c r="F34" s="61">
        <f t="shared" si="0"/>
        <v>0</v>
      </c>
      <c r="H34" s="5"/>
    </row>
    <row r="35" spans="2:8" ht="15" customHeight="1">
      <c r="B35" s="34" t="s">
        <v>122</v>
      </c>
      <c r="C35" s="59" t="s">
        <v>123</v>
      </c>
      <c r="D35" s="60"/>
      <c r="E35" s="80"/>
      <c r="F35" s="61">
        <f t="shared" si="0"/>
        <v>0</v>
      </c>
      <c r="H35" s="5"/>
    </row>
    <row r="36" spans="2:8" ht="15" customHeight="1">
      <c r="B36" s="102" t="s">
        <v>125</v>
      </c>
      <c r="C36" s="290" t="s">
        <v>126</v>
      </c>
      <c r="D36" s="292"/>
      <c r="E36" s="81"/>
      <c r="F36" s="61">
        <f t="shared" si="0"/>
        <v>0</v>
      </c>
      <c r="H36" s="5"/>
    </row>
    <row r="37" spans="2:8" ht="15" customHeight="1">
      <c r="B37" s="293" t="s">
        <v>128</v>
      </c>
      <c r="C37" s="294"/>
      <c r="D37" s="295"/>
      <c r="E37" s="86">
        <f>SUM(E30:E36)</f>
        <v>0</v>
      </c>
      <c r="F37" s="69">
        <f>SUM(F29:F36)</f>
        <v>965</v>
      </c>
      <c r="H37" s="5"/>
    </row>
    <row r="38" spans="2:8" ht="15" customHeight="1">
      <c r="H38" s="5"/>
    </row>
    <row r="39" spans="2:8" ht="15" customHeight="1">
      <c r="B39" s="362" t="s">
        <v>130</v>
      </c>
      <c r="C39" s="362"/>
      <c r="D39" s="362" t="s">
        <v>131</v>
      </c>
      <c r="E39" s="362"/>
      <c r="F39" s="362"/>
      <c r="H39" s="5"/>
    </row>
    <row r="40" spans="2:8" ht="15" customHeight="1">
      <c r="B40" s="101">
        <v>2</v>
      </c>
      <c r="C40" s="362" t="s">
        <v>132</v>
      </c>
      <c r="D40" s="362"/>
      <c r="E40" s="362"/>
      <c r="F40" s="68" t="s">
        <v>108</v>
      </c>
      <c r="H40" s="5"/>
    </row>
    <row r="41" spans="2:8" ht="15" customHeight="1">
      <c r="B41" s="102" t="s">
        <v>78</v>
      </c>
      <c r="C41" s="290" t="s">
        <v>133</v>
      </c>
      <c r="D41" s="291"/>
      <c r="E41" s="292"/>
      <c r="F41" s="33">
        <f>(2*2*26)-(0.06*F29)</f>
        <v>46.1</v>
      </c>
      <c r="H41" s="5"/>
    </row>
    <row r="42" spans="2:8" ht="15" customHeight="1">
      <c r="B42" s="102" t="s">
        <v>83</v>
      </c>
      <c r="C42" s="393" t="s">
        <v>134</v>
      </c>
      <c r="D42" s="393"/>
      <c r="E42" s="393"/>
      <c r="F42" s="33">
        <v>125</v>
      </c>
      <c r="H42" s="5"/>
    </row>
    <row r="43" spans="2:8" ht="15" customHeight="1">
      <c r="B43" s="34" t="s">
        <v>86</v>
      </c>
      <c r="C43" s="382" t="s">
        <v>135</v>
      </c>
      <c r="D43" s="382"/>
      <c r="E43" s="382"/>
      <c r="F43" s="62">
        <v>10</v>
      </c>
      <c r="H43" s="5"/>
    </row>
    <row r="44" spans="2:8" ht="15" customHeight="1">
      <c r="B44" s="34" t="s">
        <v>88</v>
      </c>
      <c r="C44" s="382" t="s">
        <v>136</v>
      </c>
      <c r="D44" s="382"/>
      <c r="E44" s="382"/>
      <c r="F44" s="62">
        <v>0</v>
      </c>
      <c r="H44" s="5"/>
    </row>
    <row r="45" spans="2:8" ht="15" customHeight="1">
      <c r="B45" s="34" t="s">
        <v>113</v>
      </c>
      <c r="C45" s="382" t="s">
        <v>138</v>
      </c>
      <c r="D45" s="382"/>
      <c r="E45" s="382"/>
      <c r="F45" s="62">
        <v>2.5</v>
      </c>
      <c r="H45" s="5"/>
    </row>
    <row r="46" spans="2:8" ht="15" customHeight="1">
      <c r="B46" s="102" t="s">
        <v>116</v>
      </c>
      <c r="C46" s="382" t="s">
        <v>258</v>
      </c>
      <c r="D46" s="382"/>
      <c r="E46" s="382"/>
      <c r="F46" s="62">
        <v>0</v>
      </c>
      <c r="H46" s="5"/>
    </row>
    <row r="47" spans="2:8" ht="15" customHeight="1">
      <c r="B47" s="362" t="s">
        <v>143</v>
      </c>
      <c r="C47" s="362"/>
      <c r="D47" s="362"/>
      <c r="E47" s="362"/>
      <c r="F47" s="69">
        <f>SUM(F41:F46)</f>
        <v>183.6</v>
      </c>
      <c r="H47" s="5"/>
    </row>
    <row r="48" spans="2:8" ht="27.75" customHeight="1">
      <c r="B48" s="34" t="s">
        <v>145</v>
      </c>
      <c r="C48" s="309" t="s">
        <v>146</v>
      </c>
      <c r="D48" s="310"/>
      <c r="E48" s="310"/>
      <c r="F48" s="311"/>
      <c r="H48" s="5"/>
    </row>
    <row r="49" spans="2:8" ht="35.25" customHeight="1">
      <c r="B49" s="317" t="s">
        <v>148</v>
      </c>
      <c r="C49" s="373" t="s">
        <v>149</v>
      </c>
      <c r="D49" s="374"/>
      <c r="E49" s="374"/>
      <c r="F49" s="375"/>
      <c r="H49" s="5"/>
    </row>
    <row r="50" spans="2:8" ht="11.25" customHeight="1">
      <c r="B50" s="318"/>
      <c r="C50" s="376"/>
      <c r="D50" s="377"/>
      <c r="E50" s="377"/>
      <c r="F50" s="378"/>
      <c r="H50" s="5"/>
    </row>
    <row r="51" spans="2:8" ht="21.75" customHeight="1">
      <c r="B51" s="318"/>
      <c r="C51" s="376"/>
      <c r="D51" s="377"/>
      <c r="E51" s="377"/>
      <c r="F51" s="378"/>
      <c r="H51" s="5"/>
    </row>
    <row r="52" spans="2:8" ht="20.25" customHeight="1">
      <c r="B52" s="319"/>
      <c r="C52" s="379"/>
      <c r="D52" s="380"/>
      <c r="E52" s="380"/>
      <c r="F52" s="381"/>
      <c r="H52" s="5"/>
    </row>
    <row r="53" spans="2:8" ht="15" customHeight="1">
      <c r="H53" s="5"/>
    </row>
    <row r="54" spans="2:8" ht="15" customHeight="1">
      <c r="B54" s="293" t="s">
        <v>153</v>
      </c>
      <c r="C54" s="295"/>
      <c r="D54" s="293" t="s">
        <v>154</v>
      </c>
      <c r="E54" s="294"/>
      <c r="F54" s="295"/>
      <c r="H54" s="5"/>
    </row>
    <row r="55" spans="2:8" ht="15" customHeight="1">
      <c r="B55" s="101">
        <v>3</v>
      </c>
      <c r="C55" s="293" t="s">
        <v>155</v>
      </c>
      <c r="D55" s="294"/>
      <c r="E55" s="295"/>
      <c r="F55" s="68" t="s">
        <v>108</v>
      </c>
      <c r="H55" s="5"/>
    </row>
    <row r="56" spans="2:8" ht="15" customHeight="1">
      <c r="B56" s="34" t="s">
        <v>78</v>
      </c>
      <c r="C56" s="290" t="s">
        <v>156</v>
      </c>
      <c r="D56" s="291"/>
      <c r="E56" s="292"/>
      <c r="F56" s="116">
        <v>12</v>
      </c>
      <c r="H56" s="5"/>
    </row>
    <row r="57" spans="2:8" ht="15" customHeight="1">
      <c r="B57" s="34" t="s">
        <v>83</v>
      </c>
      <c r="C57" s="290" t="s">
        <v>157</v>
      </c>
      <c r="D57" s="291"/>
      <c r="E57" s="292"/>
      <c r="F57" s="35">
        <v>0</v>
      </c>
      <c r="H57" s="5"/>
    </row>
    <row r="58" spans="2:8" ht="15" customHeight="1">
      <c r="B58" s="34" t="s">
        <v>86</v>
      </c>
      <c r="C58" s="290" t="s">
        <v>158</v>
      </c>
      <c r="D58" s="291"/>
      <c r="E58" s="292"/>
      <c r="F58" s="35">
        <v>0</v>
      </c>
      <c r="H58" s="5"/>
    </row>
    <row r="59" spans="2:8" ht="15" customHeight="1">
      <c r="B59" s="102" t="s">
        <v>88</v>
      </c>
      <c r="C59" s="322" t="s">
        <v>259</v>
      </c>
      <c r="D59" s="328"/>
      <c r="E59" s="323"/>
      <c r="F59" s="36">
        <f>F58*-0.8</f>
        <v>0</v>
      </c>
      <c r="H59" s="5"/>
    </row>
    <row r="60" spans="2:8" ht="15" customHeight="1">
      <c r="B60" s="293" t="s">
        <v>159</v>
      </c>
      <c r="C60" s="294"/>
      <c r="D60" s="294"/>
      <c r="E60" s="295"/>
      <c r="F60" s="69">
        <f>SUM(F56:F59)</f>
        <v>12</v>
      </c>
      <c r="H60" s="5"/>
    </row>
    <row r="61" spans="2:8" ht="15" customHeight="1">
      <c r="B61" s="37" t="s">
        <v>103</v>
      </c>
      <c r="C61" s="306" t="s">
        <v>160</v>
      </c>
      <c r="D61" s="307"/>
      <c r="E61" s="307"/>
      <c r="F61" s="308"/>
      <c r="H61" s="5"/>
    </row>
    <row r="62" spans="2:8" ht="15" customHeight="1">
      <c r="H62" s="5"/>
    </row>
    <row r="63" spans="2:8" ht="15" customHeight="1">
      <c r="B63" s="293" t="s">
        <v>161</v>
      </c>
      <c r="C63" s="295"/>
      <c r="D63" s="293" t="s">
        <v>162</v>
      </c>
      <c r="E63" s="294"/>
      <c r="F63" s="295"/>
      <c r="H63" s="5"/>
    </row>
    <row r="64" spans="2:8" ht="15" customHeight="1">
      <c r="B64" s="293" t="s">
        <v>163</v>
      </c>
      <c r="C64" s="295"/>
      <c r="D64" s="293" t="s">
        <v>164</v>
      </c>
      <c r="E64" s="294"/>
      <c r="F64" s="295"/>
      <c r="H64" s="5"/>
    </row>
    <row r="65" spans="2:8" ht="15" customHeight="1">
      <c r="B65" s="101" t="s">
        <v>165</v>
      </c>
      <c r="C65" s="293" t="s">
        <v>164</v>
      </c>
      <c r="D65" s="295"/>
      <c r="E65" s="87" t="s">
        <v>166</v>
      </c>
      <c r="F65" s="68" t="s">
        <v>108</v>
      </c>
      <c r="H65" s="5"/>
    </row>
    <row r="66" spans="2:8" ht="15" customHeight="1">
      <c r="B66" s="34" t="s">
        <v>78</v>
      </c>
      <c r="C66" s="290" t="s">
        <v>167</v>
      </c>
      <c r="D66" s="292"/>
      <c r="E66" s="80">
        <v>0.2</v>
      </c>
      <c r="F66" s="38">
        <f t="shared" ref="F66:F73" si="1">E66*$F$37</f>
        <v>193</v>
      </c>
      <c r="H66" s="5"/>
    </row>
    <row r="67" spans="2:8" ht="15" customHeight="1">
      <c r="B67" s="34" t="s">
        <v>83</v>
      </c>
      <c r="C67" s="290" t="s">
        <v>168</v>
      </c>
      <c r="D67" s="292"/>
      <c r="E67" s="80">
        <v>1.4999999999999999E-2</v>
      </c>
      <c r="F67" s="38">
        <f t="shared" si="1"/>
        <v>14.48</v>
      </c>
      <c r="H67" s="5"/>
    </row>
    <row r="68" spans="2:8" ht="15" customHeight="1">
      <c r="B68" s="34" t="s">
        <v>86</v>
      </c>
      <c r="C68" s="290" t="s">
        <v>169</v>
      </c>
      <c r="D68" s="292"/>
      <c r="E68" s="80">
        <v>0.01</v>
      </c>
      <c r="F68" s="38">
        <f t="shared" si="1"/>
        <v>9.65</v>
      </c>
      <c r="H68" s="5"/>
    </row>
    <row r="69" spans="2:8" ht="15" customHeight="1">
      <c r="B69" s="34" t="s">
        <v>88</v>
      </c>
      <c r="C69" s="290" t="s">
        <v>170</v>
      </c>
      <c r="D69" s="292"/>
      <c r="E69" s="80">
        <v>2E-3</v>
      </c>
      <c r="F69" s="38">
        <f t="shared" si="1"/>
        <v>1.93</v>
      </c>
      <c r="H69" s="5"/>
    </row>
    <row r="70" spans="2:8" ht="15" customHeight="1">
      <c r="B70" s="34" t="s">
        <v>113</v>
      </c>
      <c r="C70" s="290" t="s">
        <v>171</v>
      </c>
      <c r="D70" s="292"/>
      <c r="E70" s="80">
        <v>2.5000000000000001E-2</v>
      </c>
      <c r="F70" s="38">
        <f t="shared" si="1"/>
        <v>24.13</v>
      </c>
      <c r="H70" s="5"/>
    </row>
    <row r="71" spans="2:8" ht="15" customHeight="1">
      <c r="B71" s="34" t="s">
        <v>116</v>
      </c>
      <c r="C71" s="290" t="s">
        <v>172</v>
      </c>
      <c r="D71" s="292"/>
      <c r="E71" s="80">
        <v>0.08</v>
      </c>
      <c r="F71" s="38">
        <f t="shared" si="1"/>
        <v>77.2</v>
      </c>
      <c r="H71" s="5"/>
    </row>
    <row r="72" spans="2:8" ht="15" customHeight="1">
      <c r="B72" s="34" t="s">
        <v>122</v>
      </c>
      <c r="C72" s="290" t="s">
        <v>261</v>
      </c>
      <c r="D72" s="292"/>
      <c r="E72" s="80">
        <v>0.03</v>
      </c>
      <c r="F72" s="38">
        <f t="shared" si="1"/>
        <v>28.95</v>
      </c>
      <c r="H72" s="5"/>
    </row>
    <row r="73" spans="2:8" ht="15" customHeight="1">
      <c r="B73" s="34" t="s">
        <v>125</v>
      </c>
      <c r="C73" s="290" t="s">
        <v>174</v>
      </c>
      <c r="D73" s="292"/>
      <c r="E73" s="80">
        <v>6.0000000000000001E-3</v>
      </c>
      <c r="F73" s="38">
        <f t="shared" si="1"/>
        <v>5.79</v>
      </c>
      <c r="H73" s="5"/>
    </row>
    <row r="74" spans="2:8" ht="15" customHeight="1">
      <c r="B74" s="293" t="s">
        <v>57</v>
      </c>
      <c r="C74" s="294"/>
      <c r="D74" s="295"/>
      <c r="E74" s="79">
        <f>SUM(E66:E73)</f>
        <v>0.36799999999999999</v>
      </c>
      <c r="F74" s="69">
        <f>SUM(F66:F73)</f>
        <v>355.13</v>
      </c>
      <c r="H74" s="5"/>
    </row>
    <row r="75" spans="2:8" ht="15" customHeight="1">
      <c r="B75" s="39" t="s">
        <v>145</v>
      </c>
      <c r="C75" s="309" t="s">
        <v>175</v>
      </c>
      <c r="D75" s="310"/>
      <c r="E75" s="310"/>
      <c r="F75" s="311"/>
      <c r="H75" s="5"/>
    </row>
    <row r="76" spans="2:8" ht="15" customHeight="1">
      <c r="B76" s="39" t="s">
        <v>148</v>
      </c>
      <c r="C76" s="331" t="s">
        <v>176</v>
      </c>
      <c r="D76" s="332"/>
      <c r="E76" s="332"/>
      <c r="F76" s="333"/>
      <c r="H76" s="5"/>
    </row>
    <row r="77" spans="2:8" ht="15" customHeight="1">
      <c r="H77" s="5"/>
    </row>
    <row r="78" spans="2:8" ht="15" customHeight="1">
      <c r="B78" s="293" t="s">
        <v>177</v>
      </c>
      <c r="C78" s="295"/>
      <c r="D78" s="293" t="s">
        <v>178</v>
      </c>
      <c r="E78" s="294"/>
      <c r="F78" s="295"/>
      <c r="H78" s="5"/>
    </row>
    <row r="79" spans="2:8" ht="15" customHeight="1">
      <c r="B79" s="101" t="s">
        <v>179</v>
      </c>
      <c r="C79" s="293" t="s">
        <v>180</v>
      </c>
      <c r="D79" s="295"/>
      <c r="E79" s="87" t="s">
        <v>166</v>
      </c>
      <c r="F79" s="68" t="s">
        <v>108</v>
      </c>
      <c r="H79" s="5"/>
    </row>
    <row r="80" spans="2:8" ht="15" customHeight="1">
      <c r="B80" s="34" t="s">
        <v>78</v>
      </c>
      <c r="C80" s="290" t="s">
        <v>181</v>
      </c>
      <c r="D80" s="292"/>
      <c r="E80" s="80">
        <v>8.3330000000000001E-2</v>
      </c>
      <c r="F80" s="38">
        <f>E80*$F$37</f>
        <v>80.41</v>
      </c>
      <c r="H80" s="5"/>
    </row>
    <row r="81" spans="2:8" ht="15" customHeight="1">
      <c r="B81" s="64" t="s">
        <v>83</v>
      </c>
      <c r="C81" s="329" t="s">
        <v>182</v>
      </c>
      <c r="D81" s="330"/>
      <c r="E81" s="82">
        <v>2.7779999999999999E-2</v>
      </c>
      <c r="F81" s="38">
        <f>E81*$F$37</f>
        <v>26.81</v>
      </c>
      <c r="H81" s="5"/>
    </row>
    <row r="82" spans="2:8" ht="15" customHeight="1">
      <c r="B82" s="293" t="s">
        <v>183</v>
      </c>
      <c r="C82" s="294"/>
      <c r="D82" s="295"/>
      <c r="E82" s="83">
        <f>SUM(E80:E81)</f>
        <v>0.11111</v>
      </c>
      <c r="F82" s="70">
        <f>SUM(F80:F81)</f>
        <v>107.22</v>
      </c>
      <c r="H82" s="5"/>
    </row>
    <row r="83" spans="2:8" s="63" customFormat="1" ht="15" customHeight="1">
      <c r="B83" s="102" t="s">
        <v>86</v>
      </c>
      <c r="C83" s="322" t="s">
        <v>184</v>
      </c>
      <c r="D83" s="323"/>
      <c r="E83" s="88">
        <f>E74*E82</f>
        <v>4.0890000000000003E-2</v>
      </c>
      <c r="F83" s="94">
        <f>F82*E74</f>
        <v>39.46</v>
      </c>
    </row>
    <row r="84" spans="2:8" ht="15" customHeight="1">
      <c r="B84" s="293" t="s">
        <v>57</v>
      </c>
      <c r="C84" s="294"/>
      <c r="D84" s="295"/>
      <c r="E84" s="79">
        <f>SUM(E82:E83)</f>
        <v>0.152</v>
      </c>
      <c r="F84" s="71">
        <f>SUM(F82:F83)</f>
        <v>146.68</v>
      </c>
      <c r="H84" s="5"/>
    </row>
    <row r="85" spans="2:8" ht="15" customHeight="1">
      <c r="H85" s="5"/>
    </row>
    <row r="86" spans="2:8" ht="15" customHeight="1">
      <c r="B86" s="293" t="s">
        <v>185</v>
      </c>
      <c r="C86" s="295"/>
      <c r="D86" s="293" t="s">
        <v>186</v>
      </c>
      <c r="E86" s="294"/>
      <c r="F86" s="295"/>
      <c r="H86" s="5"/>
    </row>
    <row r="87" spans="2:8" ht="15" customHeight="1">
      <c r="B87" s="101" t="s">
        <v>187</v>
      </c>
      <c r="C87" s="293" t="s">
        <v>186</v>
      </c>
      <c r="D87" s="295"/>
      <c r="E87" s="87" t="s">
        <v>166</v>
      </c>
      <c r="F87" s="68" t="s">
        <v>108</v>
      </c>
      <c r="H87" s="5"/>
    </row>
    <row r="88" spans="2:8" ht="15" customHeight="1">
      <c r="B88" s="34" t="s">
        <v>78</v>
      </c>
      <c r="C88" s="290" t="s">
        <v>186</v>
      </c>
      <c r="D88" s="292"/>
      <c r="E88" s="78">
        <v>2.8700000000000002E-3</v>
      </c>
      <c r="F88" s="38">
        <f>E88*$F$37</f>
        <v>2.77</v>
      </c>
      <c r="H88" s="5"/>
    </row>
    <row r="89" spans="2:8" ht="15" customHeight="1">
      <c r="B89" s="102" t="s">
        <v>83</v>
      </c>
      <c r="C89" s="322" t="s">
        <v>188</v>
      </c>
      <c r="D89" s="323"/>
      <c r="E89" s="88">
        <f>E74*E88</f>
        <v>1.06E-3</v>
      </c>
      <c r="F89" s="94">
        <f>F88*E74</f>
        <v>1.02</v>
      </c>
      <c r="H89" s="5"/>
    </row>
    <row r="90" spans="2:8" ht="15" customHeight="1">
      <c r="B90" s="293" t="s">
        <v>57</v>
      </c>
      <c r="C90" s="294"/>
      <c r="D90" s="295"/>
      <c r="E90" s="89">
        <f>SUM(E88:E89)</f>
        <v>3.9300000000000003E-3</v>
      </c>
      <c r="F90" s="69">
        <f>SUM(F88:F89)</f>
        <v>3.79</v>
      </c>
      <c r="H90" s="5"/>
    </row>
    <row r="91" spans="2:8" ht="15" customHeight="1">
      <c r="H91" s="5"/>
    </row>
    <row r="92" spans="2:8" ht="15" customHeight="1">
      <c r="B92" s="293" t="s">
        <v>189</v>
      </c>
      <c r="C92" s="295"/>
      <c r="D92" s="293" t="s">
        <v>190</v>
      </c>
      <c r="E92" s="294"/>
      <c r="F92" s="295"/>
      <c r="H92" s="5"/>
    </row>
    <row r="93" spans="2:8" ht="15" customHeight="1">
      <c r="B93" s="101" t="s">
        <v>191</v>
      </c>
      <c r="C93" s="293" t="s">
        <v>190</v>
      </c>
      <c r="D93" s="295"/>
      <c r="E93" s="87" t="s">
        <v>166</v>
      </c>
      <c r="F93" s="68" t="s">
        <v>108</v>
      </c>
      <c r="H93" s="5"/>
    </row>
    <row r="94" spans="2:8" ht="15" customHeight="1">
      <c r="B94" s="34" t="s">
        <v>78</v>
      </c>
      <c r="C94" s="290" t="s">
        <v>192</v>
      </c>
      <c r="D94" s="292"/>
      <c r="E94" s="78">
        <v>4.1700000000000001E-3</v>
      </c>
      <c r="F94" s="38">
        <f>E94*$F$37</f>
        <v>4.0199999999999996</v>
      </c>
      <c r="H94" s="5"/>
    </row>
    <row r="95" spans="2:8" ht="15" customHeight="1">
      <c r="B95" s="34" t="s">
        <v>83</v>
      </c>
      <c r="C95" s="326" t="s">
        <v>193</v>
      </c>
      <c r="D95" s="327"/>
      <c r="E95" s="78">
        <f>E94*E71</f>
        <v>3.3E-4</v>
      </c>
      <c r="F95" s="38">
        <f>F94*E71</f>
        <v>0.32</v>
      </c>
      <c r="H95" s="5"/>
    </row>
    <row r="96" spans="2:8" ht="15" customHeight="1">
      <c r="B96" s="34" t="s">
        <v>86</v>
      </c>
      <c r="C96" s="290" t="s">
        <v>194</v>
      </c>
      <c r="D96" s="292"/>
      <c r="E96" s="78">
        <v>3.2000000000000001E-2</v>
      </c>
      <c r="F96" s="38">
        <f>E96*$F$37</f>
        <v>30.88</v>
      </c>
      <c r="H96" s="5"/>
    </row>
    <row r="97" spans="2:8" ht="15" customHeight="1">
      <c r="B97" s="34" t="s">
        <v>88</v>
      </c>
      <c r="C97" s="290" t="s">
        <v>195</v>
      </c>
      <c r="D97" s="292"/>
      <c r="E97" s="78">
        <v>1.9439999999999999E-2</v>
      </c>
      <c r="F97" s="38">
        <f>E97*$F$37</f>
        <v>18.760000000000002</v>
      </c>
      <c r="H97" s="5"/>
    </row>
    <row r="98" spans="2:8" ht="15" customHeight="1">
      <c r="B98" s="34" t="s">
        <v>113</v>
      </c>
      <c r="C98" s="326" t="s">
        <v>196</v>
      </c>
      <c r="D98" s="327"/>
      <c r="E98" s="78">
        <f>E97*E74</f>
        <v>7.1500000000000001E-3</v>
      </c>
      <c r="F98" s="94">
        <f>F97*E74</f>
        <v>6.9</v>
      </c>
      <c r="H98" s="5"/>
    </row>
    <row r="99" spans="2:8" ht="15" customHeight="1">
      <c r="B99" s="102" t="s">
        <v>88</v>
      </c>
      <c r="C99" s="290" t="s">
        <v>197</v>
      </c>
      <c r="D99" s="292"/>
      <c r="E99" s="78">
        <v>8.0000000000000002E-3</v>
      </c>
      <c r="F99" s="38">
        <f>E99*$F$37</f>
        <v>7.72</v>
      </c>
      <c r="H99" s="5"/>
    </row>
    <row r="100" spans="2:8" ht="15" customHeight="1">
      <c r="B100" s="293" t="s">
        <v>57</v>
      </c>
      <c r="C100" s="294"/>
      <c r="D100" s="295"/>
      <c r="E100" s="79">
        <f>SUM(E94:E99)</f>
        <v>7.109E-2</v>
      </c>
      <c r="F100" s="69">
        <f>SUM(F94:F99)</f>
        <v>68.599999999999994</v>
      </c>
      <c r="H100" s="5"/>
    </row>
    <row r="101" spans="2:8" ht="27" customHeight="1">
      <c r="B101" s="32" t="s">
        <v>145</v>
      </c>
      <c r="C101" s="322" t="s">
        <v>198</v>
      </c>
      <c r="D101" s="328"/>
      <c r="E101" s="328"/>
      <c r="F101" s="323"/>
      <c r="H101" s="5"/>
    </row>
    <row r="102" spans="2:8" ht="24.75" customHeight="1">
      <c r="B102" s="32" t="s">
        <v>148</v>
      </c>
      <c r="C102" s="322" t="s">
        <v>199</v>
      </c>
      <c r="D102" s="328"/>
      <c r="E102" s="328"/>
      <c r="F102" s="323"/>
      <c r="H102" s="5"/>
    </row>
    <row r="103" spans="2:8" ht="15" customHeight="1">
      <c r="H103" s="5"/>
    </row>
    <row r="104" spans="2:8" ht="15" customHeight="1">
      <c r="B104" s="293" t="s">
        <v>200</v>
      </c>
      <c r="C104" s="295"/>
      <c r="D104" s="293" t="s">
        <v>201</v>
      </c>
      <c r="E104" s="294"/>
      <c r="F104" s="295"/>
      <c r="H104" s="5"/>
    </row>
    <row r="105" spans="2:8" ht="15" customHeight="1">
      <c r="B105" s="101" t="s">
        <v>202</v>
      </c>
      <c r="C105" s="324" t="s">
        <v>203</v>
      </c>
      <c r="D105" s="325"/>
      <c r="E105" s="87" t="s">
        <v>166</v>
      </c>
      <c r="F105" s="68" t="s">
        <v>108</v>
      </c>
      <c r="H105" s="5"/>
    </row>
    <row r="106" spans="2:8" ht="15" customHeight="1">
      <c r="B106" s="34" t="s">
        <v>78</v>
      </c>
      <c r="C106" s="290" t="s">
        <v>204</v>
      </c>
      <c r="D106" s="292"/>
      <c r="E106" s="80">
        <v>7.8100000000000003E-2</v>
      </c>
      <c r="F106" s="38">
        <f t="shared" ref="F106:F113" si="2">E106*$F$37</f>
        <v>75.37</v>
      </c>
      <c r="H106" s="5"/>
    </row>
    <row r="107" spans="2:8" ht="15" customHeight="1">
      <c r="B107" s="34" t="s">
        <v>83</v>
      </c>
      <c r="C107" s="326" t="s">
        <v>283</v>
      </c>
      <c r="D107" s="327"/>
      <c r="E107" s="80">
        <v>2.6800000000000001E-2</v>
      </c>
      <c r="F107" s="38">
        <f t="shared" si="2"/>
        <v>25.86</v>
      </c>
      <c r="H107" s="5"/>
    </row>
    <row r="108" spans="2:8" ht="15" customHeight="1">
      <c r="B108" s="34" t="s">
        <v>86</v>
      </c>
      <c r="C108" s="122" t="s">
        <v>284</v>
      </c>
      <c r="D108" s="123"/>
      <c r="E108" s="80">
        <v>3.0000000000000001E-3</v>
      </c>
      <c r="F108" s="38">
        <f t="shared" si="2"/>
        <v>2.9</v>
      </c>
      <c r="H108" s="5"/>
    </row>
    <row r="109" spans="2:8" ht="15" customHeight="1">
      <c r="B109" s="34" t="s">
        <v>88</v>
      </c>
      <c r="C109" s="290" t="s">
        <v>206</v>
      </c>
      <c r="D109" s="292"/>
      <c r="E109" s="80">
        <v>2.9999999999999997E-4</v>
      </c>
      <c r="F109" s="38">
        <f t="shared" si="2"/>
        <v>0.28999999999999998</v>
      </c>
      <c r="H109" s="5"/>
    </row>
    <row r="110" spans="2:8" ht="15" customHeight="1">
      <c r="B110" s="34" t="s">
        <v>113</v>
      </c>
      <c r="C110" s="290" t="s">
        <v>208</v>
      </c>
      <c r="D110" s="292"/>
      <c r="E110" s="80">
        <v>5.0000000000000001E-4</v>
      </c>
      <c r="F110" s="38">
        <f t="shared" si="2"/>
        <v>0.48</v>
      </c>
      <c r="H110" s="5"/>
    </row>
    <row r="111" spans="2:8" ht="15" customHeight="1">
      <c r="B111" s="34" t="s">
        <v>116</v>
      </c>
      <c r="C111" s="290" t="s">
        <v>285</v>
      </c>
      <c r="D111" s="292"/>
      <c r="E111" s="80">
        <v>6.7000000000000002E-3</v>
      </c>
      <c r="F111" s="38">
        <f t="shared" si="2"/>
        <v>6.47</v>
      </c>
      <c r="H111" s="5"/>
    </row>
    <row r="112" spans="2:8" ht="15" customHeight="1">
      <c r="B112" s="102" t="s">
        <v>122</v>
      </c>
      <c r="C112" s="322" t="s">
        <v>286</v>
      </c>
      <c r="D112" s="323"/>
      <c r="E112" s="80">
        <v>3.2000000000000002E-3</v>
      </c>
      <c r="F112" s="38">
        <f t="shared" si="2"/>
        <v>3.09</v>
      </c>
      <c r="H112" s="5"/>
    </row>
    <row r="113" spans="2:8" ht="15" customHeight="1">
      <c r="B113" s="132" t="s">
        <v>125</v>
      </c>
      <c r="C113" s="124" t="s">
        <v>141</v>
      </c>
      <c r="D113" s="121"/>
      <c r="E113" s="80">
        <v>0</v>
      </c>
      <c r="F113" s="38">
        <f t="shared" si="2"/>
        <v>0</v>
      </c>
      <c r="H113" s="5"/>
    </row>
    <row r="114" spans="2:8" ht="15" customHeight="1">
      <c r="B114" s="293" t="s">
        <v>183</v>
      </c>
      <c r="C114" s="294"/>
      <c r="D114" s="295"/>
      <c r="E114" s="79">
        <f>SUM(E106:E113)</f>
        <v>0.1186</v>
      </c>
      <c r="F114" s="73">
        <f>SUM(F106:F111)</f>
        <v>111.37</v>
      </c>
      <c r="H114" s="5"/>
    </row>
    <row r="115" spans="2:8" ht="15" customHeight="1">
      <c r="B115" s="102" t="s">
        <v>125</v>
      </c>
      <c r="C115" s="326" t="s">
        <v>209</v>
      </c>
      <c r="D115" s="327"/>
      <c r="E115" s="78">
        <f>E74*E114</f>
        <v>4.3639999999999998E-2</v>
      </c>
      <c r="F115" s="76">
        <f>E74*F114</f>
        <v>40.98</v>
      </c>
      <c r="H115" s="5"/>
    </row>
    <row r="116" spans="2:8" ht="15" customHeight="1">
      <c r="B116" s="293" t="s">
        <v>57</v>
      </c>
      <c r="C116" s="294"/>
      <c r="D116" s="295"/>
      <c r="E116" s="79">
        <f>SUM(E114:E115)</f>
        <v>0.16224</v>
      </c>
      <c r="F116" s="69">
        <f>SUM(F114:F115)</f>
        <v>152.35</v>
      </c>
      <c r="H116" s="5"/>
    </row>
    <row r="117" spans="2:8" ht="15" customHeight="1">
      <c r="H117" s="5"/>
    </row>
    <row r="118" spans="2:8" ht="15" customHeight="1">
      <c r="B118" s="293" t="s">
        <v>210</v>
      </c>
      <c r="C118" s="295"/>
      <c r="D118" s="293" t="s">
        <v>211</v>
      </c>
      <c r="E118" s="294"/>
      <c r="F118" s="295"/>
      <c r="H118" s="5"/>
    </row>
    <row r="119" spans="2:8" ht="15" customHeight="1">
      <c r="B119" s="101">
        <v>4</v>
      </c>
      <c r="C119" s="324" t="s">
        <v>212</v>
      </c>
      <c r="D119" s="325"/>
      <c r="E119" s="87" t="s">
        <v>166</v>
      </c>
      <c r="F119" s="68" t="s">
        <v>108</v>
      </c>
      <c r="H119" s="5"/>
    </row>
    <row r="120" spans="2:8" ht="15" customHeight="1">
      <c r="B120" s="34" t="s">
        <v>165</v>
      </c>
      <c r="C120" s="290" t="str">
        <f>D64</f>
        <v>Encargos Previdenciários e FGTS</v>
      </c>
      <c r="D120" s="292"/>
      <c r="E120" s="90">
        <f>E74</f>
        <v>0.36799999999999999</v>
      </c>
      <c r="F120" s="38">
        <f>F74</f>
        <v>355.13</v>
      </c>
      <c r="H120" s="5"/>
    </row>
    <row r="121" spans="2:8" ht="15" customHeight="1">
      <c r="B121" s="34" t="s">
        <v>179</v>
      </c>
      <c r="C121" s="326" t="str">
        <f>D78</f>
        <v>13° Salário e Adicional de Férias</v>
      </c>
      <c r="D121" s="327"/>
      <c r="E121" s="90">
        <f>E84</f>
        <v>0.152</v>
      </c>
      <c r="F121" s="38">
        <f>F84</f>
        <v>146.68</v>
      </c>
      <c r="H121" s="5"/>
    </row>
    <row r="122" spans="2:8" ht="15" customHeight="1">
      <c r="B122" s="34" t="s">
        <v>187</v>
      </c>
      <c r="C122" s="290" t="str">
        <f>D86</f>
        <v>Afastamento Maternidade</v>
      </c>
      <c r="D122" s="292"/>
      <c r="E122" s="90">
        <f>E90</f>
        <v>3.9300000000000003E-3</v>
      </c>
      <c r="F122" s="38">
        <f>F90</f>
        <v>3.79</v>
      </c>
      <c r="H122" s="5"/>
    </row>
    <row r="123" spans="2:8" ht="15" customHeight="1">
      <c r="B123" s="34" t="s">
        <v>191</v>
      </c>
      <c r="C123" s="290" t="str">
        <f>D92</f>
        <v>Provisão para Rescisão</v>
      </c>
      <c r="D123" s="292"/>
      <c r="E123" s="90">
        <f>E100</f>
        <v>7.109E-2</v>
      </c>
      <c r="F123" s="38">
        <f>F100</f>
        <v>68.599999999999994</v>
      </c>
      <c r="H123" s="5"/>
    </row>
    <row r="124" spans="2:8" ht="15" customHeight="1">
      <c r="B124" s="34" t="s">
        <v>202</v>
      </c>
      <c r="C124" s="290" t="str">
        <f>D104</f>
        <v>Custo de Reposição do Profissional Ausente</v>
      </c>
      <c r="D124" s="292"/>
      <c r="E124" s="90">
        <f>E116</f>
        <v>0.16224</v>
      </c>
      <c r="F124" s="38">
        <f>F116</f>
        <v>152.35</v>
      </c>
      <c r="H124" s="5"/>
    </row>
    <row r="125" spans="2:8" ht="15" customHeight="1">
      <c r="B125" s="102" t="s">
        <v>213</v>
      </c>
      <c r="C125" s="322" t="s">
        <v>126</v>
      </c>
      <c r="D125" s="323"/>
      <c r="E125" s="90">
        <v>0</v>
      </c>
      <c r="F125" s="38">
        <v>0</v>
      </c>
      <c r="H125" s="5"/>
    </row>
    <row r="126" spans="2:8" ht="15" customHeight="1">
      <c r="B126" s="293" t="s">
        <v>57</v>
      </c>
      <c r="C126" s="294"/>
      <c r="D126" s="295"/>
      <c r="E126" s="89">
        <f>SUM(E120:E125)</f>
        <v>0.75726000000000004</v>
      </c>
      <c r="F126" s="69">
        <f>SUM(F120:F125)</f>
        <v>726.55</v>
      </c>
      <c r="H126" s="5"/>
    </row>
    <row r="127" spans="2:8" ht="15" customHeight="1">
      <c r="H127" s="5"/>
    </row>
    <row r="128" spans="2:8" ht="15" customHeight="1">
      <c r="B128" s="293" t="s">
        <v>214</v>
      </c>
      <c r="C128" s="295"/>
      <c r="D128" s="293" t="s">
        <v>215</v>
      </c>
      <c r="E128" s="294"/>
      <c r="F128" s="295"/>
      <c r="H128" s="5"/>
    </row>
    <row r="129" spans="2:8" ht="15" customHeight="1">
      <c r="B129" s="101">
        <v>5</v>
      </c>
      <c r="C129" s="293" t="s">
        <v>216</v>
      </c>
      <c r="D129" s="295"/>
      <c r="E129" s="87" t="s">
        <v>166</v>
      </c>
      <c r="F129" s="68" t="s">
        <v>108</v>
      </c>
      <c r="H129" s="5"/>
    </row>
    <row r="130" spans="2:8" ht="15" customHeight="1">
      <c r="B130" s="34" t="s">
        <v>78</v>
      </c>
      <c r="C130" s="315" t="s">
        <v>217</v>
      </c>
      <c r="D130" s="316"/>
      <c r="E130" s="84">
        <v>5.0000000000000001E-3</v>
      </c>
      <c r="F130" s="40">
        <f>E130*F150</f>
        <v>9.44</v>
      </c>
      <c r="H130" s="5"/>
    </row>
    <row r="131" spans="2:8" ht="15" customHeight="1">
      <c r="B131" s="34" t="s">
        <v>83</v>
      </c>
      <c r="C131" s="104" t="s">
        <v>218</v>
      </c>
      <c r="D131" s="104"/>
      <c r="E131" s="84">
        <v>5.0000000000000001E-3</v>
      </c>
      <c r="F131" s="40">
        <f>E131*(F150+F130)</f>
        <v>9.48</v>
      </c>
      <c r="H131" s="5"/>
    </row>
    <row r="132" spans="2:8" ht="15" customHeight="1">
      <c r="B132" s="303" t="s">
        <v>219</v>
      </c>
      <c r="C132" s="304"/>
      <c r="D132" s="305"/>
      <c r="E132" s="79">
        <f>SUM(E130:E131)</f>
        <v>0.01</v>
      </c>
      <c r="F132" s="69">
        <f>SUM(F130:F131)</f>
        <v>18.920000000000002</v>
      </c>
      <c r="H132" s="5"/>
    </row>
    <row r="133" spans="2:8" ht="15" customHeight="1">
      <c r="B133" s="317" t="s">
        <v>86</v>
      </c>
      <c r="C133" s="290" t="s">
        <v>220</v>
      </c>
      <c r="D133" s="291"/>
      <c r="E133" s="291"/>
      <c r="F133" s="292"/>
      <c r="H133" s="5"/>
    </row>
    <row r="134" spans="2:8" ht="15" customHeight="1">
      <c r="B134" s="318"/>
      <c r="C134" s="320" t="s">
        <v>221</v>
      </c>
      <c r="D134" s="42" t="s">
        <v>222</v>
      </c>
      <c r="E134" s="80">
        <v>7.5999999999999998E-2</v>
      </c>
      <c r="F134" s="41">
        <f>(($F$150+$F$130+$F$131)/(1-$E$138))*E134</f>
        <v>168.93</v>
      </c>
      <c r="H134" s="5"/>
    </row>
    <row r="135" spans="2:8" ht="15" customHeight="1">
      <c r="B135" s="318"/>
      <c r="C135" s="321"/>
      <c r="D135" s="42" t="s">
        <v>223</v>
      </c>
      <c r="E135" s="80">
        <v>1.6500000000000001E-2</v>
      </c>
      <c r="F135" s="41">
        <f>(($F$150+$F$130+$F$131)/(1-$E$138))*E135</f>
        <v>36.68</v>
      </c>
      <c r="H135" s="5"/>
    </row>
    <row r="136" spans="2:8" ht="15" customHeight="1">
      <c r="B136" s="318"/>
      <c r="C136" s="43" t="s">
        <v>224</v>
      </c>
      <c r="D136" s="42" t="s">
        <v>225</v>
      </c>
      <c r="E136" s="80">
        <v>0.05</v>
      </c>
      <c r="F136" s="41">
        <f>(($F$150+$F$130+$F$131)/(1-$E$138))*E136</f>
        <v>111.14</v>
      </c>
      <c r="H136" s="5"/>
    </row>
    <row r="137" spans="2:8" ht="15" customHeight="1">
      <c r="B137" s="319"/>
      <c r="C137" s="43" t="s">
        <v>226</v>
      </c>
      <c r="D137" s="72"/>
      <c r="E137" s="80">
        <v>0</v>
      </c>
      <c r="F137" s="41">
        <f>(($F$150+$F$130+$F$131)/(1-$E$138))*E137</f>
        <v>0</v>
      </c>
      <c r="H137" s="5"/>
    </row>
    <row r="138" spans="2:8" ht="15" customHeight="1">
      <c r="B138" s="303" t="s">
        <v>227</v>
      </c>
      <c r="C138" s="304"/>
      <c r="D138" s="305"/>
      <c r="E138" s="79">
        <f>SUM(E134:E137)</f>
        <v>0.14249999999999999</v>
      </c>
      <c r="F138" s="69">
        <f>SUM(F134:F137)</f>
        <v>316.75</v>
      </c>
      <c r="H138" s="5"/>
    </row>
    <row r="139" spans="2:8" ht="15" customHeight="1">
      <c r="B139" s="293" t="s">
        <v>57</v>
      </c>
      <c r="C139" s="294"/>
      <c r="D139" s="295"/>
      <c r="E139" s="79">
        <f>E132+E138</f>
        <v>0.1525</v>
      </c>
      <c r="F139" s="71">
        <f>SUM(F138,F132)</f>
        <v>335.67</v>
      </c>
      <c r="H139" s="5"/>
    </row>
    <row r="140" spans="2:8" ht="15" customHeight="1">
      <c r="B140" s="39" t="s">
        <v>145</v>
      </c>
      <c r="C140" s="306" t="s">
        <v>228</v>
      </c>
      <c r="D140" s="307"/>
      <c r="E140" s="307"/>
      <c r="F140" s="308"/>
      <c r="H140" s="5"/>
    </row>
    <row r="141" spans="2:8" ht="15" customHeight="1">
      <c r="B141" s="39" t="s">
        <v>148</v>
      </c>
      <c r="C141" s="306" t="s">
        <v>229</v>
      </c>
      <c r="D141" s="307"/>
      <c r="E141" s="307"/>
      <c r="F141" s="308"/>
      <c r="H141" s="5"/>
    </row>
    <row r="142" spans="2:8" ht="25.5" customHeight="1">
      <c r="B142" s="39" t="s">
        <v>230</v>
      </c>
      <c r="C142" s="309" t="s">
        <v>231</v>
      </c>
      <c r="D142" s="310"/>
      <c r="E142" s="310"/>
      <c r="F142" s="311"/>
      <c r="H142" s="5"/>
    </row>
    <row r="143" spans="2:8" ht="15" customHeight="1">
      <c r="H143" s="5"/>
    </row>
    <row r="144" spans="2:8" ht="15" customHeight="1">
      <c r="B144" s="293" t="s">
        <v>232</v>
      </c>
      <c r="C144" s="294"/>
      <c r="D144" s="294"/>
      <c r="E144" s="294"/>
      <c r="F144" s="295"/>
      <c r="H144" s="5"/>
    </row>
    <row r="145" spans="2:8" ht="15" customHeight="1">
      <c r="B145" s="300" t="s">
        <v>233</v>
      </c>
      <c r="C145" s="301"/>
      <c r="D145" s="301"/>
      <c r="E145" s="302"/>
      <c r="F145" s="65" t="s">
        <v>234</v>
      </c>
      <c r="H145" s="5"/>
    </row>
    <row r="146" spans="2:8" ht="15" customHeight="1">
      <c r="B146" s="34" t="s">
        <v>78</v>
      </c>
      <c r="C146" s="290" t="s">
        <v>235</v>
      </c>
      <c r="D146" s="291"/>
      <c r="E146" s="292"/>
      <c r="F146" s="38">
        <f>F37</f>
        <v>965</v>
      </c>
      <c r="H146" s="5"/>
    </row>
    <row r="147" spans="2:8" ht="15" customHeight="1">
      <c r="B147" s="34" t="s">
        <v>83</v>
      </c>
      <c r="C147" s="290" t="s">
        <v>236</v>
      </c>
      <c r="D147" s="291"/>
      <c r="E147" s="292"/>
      <c r="F147" s="38">
        <f>F47</f>
        <v>183.6</v>
      </c>
      <c r="H147" s="5"/>
    </row>
    <row r="148" spans="2:8" ht="15" customHeight="1">
      <c r="B148" s="34" t="s">
        <v>86</v>
      </c>
      <c r="C148" s="290" t="s">
        <v>237</v>
      </c>
      <c r="D148" s="291"/>
      <c r="E148" s="292"/>
      <c r="F148" s="38">
        <f>F60</f>
        <v>12</v>
      </c>
      <c r="H148" s="5"/>
    </row>
    <row r="149" spans="2:8" ht="15" customHeight="1">
      <c r="B149" s="34" t="s">
        <v>88</v>
      </c>
      <c r="C149" s="290" t="s">
        <v>212</v>
      </c>
      <c r="D149" s="291"/>
      <c r="E149" s="292"/>
      <c r="F149" s="38">
        <f>F126</f>
        <v>726.55</v>
      </c>
      <c r="H149" s="5"/>
    </row>
    <row r="150" spans="2:8" ht="15" customHeight="1">
      <c r="B150" s="293" t="s">
        <v>238</v>
      </c>
      <c r="C150" s="294"/>
      <c r="D150" s="294"/>
      <c r="E150" s="295"/>
      <c r="F150" s="73">
        <f>SUM(F146:F149)</f>
        <v>1887.15</v>
      </c>
      <c r="H150" s="5"/>
    </row>
    <row r="151" spans="2:8" ht="15" customHeight="1">
      <c r="B151" s="34" t="s">
        <v>113</v>
      </c>
      <c r="C151" s="290" t="s">
        <v>239</v>
      </c>
      <c r="D151" s="291"/>
      <c r="E151" s="292"/>
      <c r="F151" s="38">
        <f>F139</f>
        <v>335.67</v>
      </c>
      <c r="H151" s="5"/>
    </row>
    <row r="152" spans="2:8" ht="15" customHeight="1">
      <c r="B152" s="293" t="s">
        <v>240</v>
      </c>
      <c r="C152" s="294"/>
      <c r="D152" s="294"/>
      <c r="E152" s="295"/>
      <c r="F152" s="73">
        <f>SUM(F150:F151)</f>
        <v>2222.8200000000002</v>
      </c>
      <c r="H152" s="5"/>
    </row>
    <row r="153" spans="2:8" ht="15" customHeight="1">
      <c r="B153" s="472" t="s">
        <v>264</v>
      </c>
      <c r="C153" s="472"/>
      <c r="D153" s="472"/>
      <c r="E153" s="472"/>
      <c r="F153" s="110">
        <f>F152*E16</f>
        <v>4445.6400000000003</v>
      </c>
      <c r="H153" s="5"/>
    </row>
    <row r="154" spans="2:8" ht="15" customHeight="1">
      <c r="H154" s="5"/>
    </row>
    <row r="155" spans="2:8" ht="26.25" customHeight="1">
      <c r="B155" s="470" t="s">
        <v>151</v>
      </c>
      <c r="C155" s="470"/>
      <c r="D155" s="111" t="s">
        <v>152</v>
      </c>
      <c r="E155" s="470" t="s">
        <v>251</v>
      </c>
      <c r="F155" s="470"/>
      <c r="G155" s="112"/>
      <c r="H155" s="5"/>
    </row>
    <row r="156" spans="2:8" ht="31.5" customHeight="1">
      <c r="B156" s="470" t="s">
        <v>253</v>
      </c>
      <c r="C156" s="470"/>
      <c r="D156" s="113">
        <v>60</v>
      </c>
      <c r="E156" s="471">
        <f>F153*D156</f>
        <v>266738.40000000002</v>
      </c>
      <c r="F156" s="471"/>
      <c r="H156" s="5"/>
    </row>
    <row r="157" spans="2:8" ht="35.25" customHeight="1">
      <c r="B157" s="470" t="s">
        <v>263</v>
      </c>
      <c r="C157" s="470"/>
      <c r="D157" s="113">
        <v>12</v>
      </c>
      <c r="E157" s="471">
        <f>F153*D157</f>
        <v>53347.68</v>
      </c>
      <c r="F157" s="471"/>
      <c r="H157" s="5"/>
    </row>
  </sheetData>
  <mergeCells count="150">
    <mergeCell ref="B157:C157"/>
    <mergeCell ref="E157:F157"/>
    <mergeCell ref="C151:E151"/>
    <mergeCell ref="B152:E152"/>
    <mergeCell ref="B153:E153"/>
    <mergeCell ref="B155:C155"/>
    <mergeCell ref="E155:F155"/>
    <mergeCell ref="B156:C156"/>
    <mergeCell ref="E156:F156"/>
    <mergeCell ref="B145:E145"/>
    <mergeCell ref="C146:E146"/>
    <mergeCell ref="C147:E147"/>
    <mergeCell ref="C148:E148"/>
    <mergeCell ref="C149:E149"/>
    <mergeCell ref="B150:E150"/>
    <mergeCell ref="B138:D138"/>
    <mergeCell ref="B139:D139"/>
    <mergeCell ref="C140:F140"/>
    <mergeCell ref="C141:F141"/>
    <mergeCell ref="C142:F142"/>
    <mergeCell ref="B144:F144"/>
    <mergeCell ref="C129:D129"/>
    <mergeCell ref="C130:D130"/>
    <mergeCell ref="B132:D132"/>
    <mergeCell ref="B133:B137"/>
    <mergeCell ref="C133:F133"/>
    <mergeCell ref="C134:C135"/>
    <mergeCell ref="C123:D123"/>
    <mergeCell ref="C124:D124"/>
    <mergeCell ref="C125:D125"/>
    <mergeCell ref="B126:D126"/>
    <mergeCell ref="B128:C128"/>
    <mergeCell ref="D128:F128"/>
    <mergeCell ref="B118:C118"/>
    <mergeCell ref="D118:F118"/>
    <mergeCell ref="C119:D119"/>
    <mergeCell ref="C120:D120"/>
    <mergeCell ref="C121:D121"/>
    <mergeCell ref="C122:D122"/>
    <mergeCell ref="C109:D109"/>
    <mergeCell ref="C110:D110"/>
    <mergeCell ref="C111:D111"/>
    <mergeCell ref="B114:D114"/>
    <mergeCell ref="C115:D115"/>
    <mergeCell ref="B116:D116"/>
    <mergeCell ref="C112:D112"/>
    <mergeCell ref="B104:C104"/>
    <mergeCell ref="D104:F104"/>
    <mergeCell ref="C105:D105"/>
    <mergeCell ref="C106:D106"/>
    <mergeCell ref="C107:D107"/>
    <mergeCell ref="C97:D97"/>
    <mergeCell ref="C98:D98"/>
    <mergeCell ref="C99:D99"/>
    <mergeCell ref="B100:D100"/>
    <mergeCell ref="C101:F101"/>
    <mergeCell ref="C102:F102"/>
    <mergeCell ref="B92:C92"/>
    <mergeCell ref="D92:F92"/>
    <mergeCell ref="C93:D93"/>
    <mergeCell ref="C94:D94"/>
    <mergeCell ref="C95:D95"/>
    <mergeCell ref="C96:D96"/>
    <mergeCell ref="B86:C86"/>
    <mergeCell ref="D86:F86"/>
    <mergeCell ref="C87:D87"/>
    <mergeCell ref="C88:D88"/>
    <mergeCell ref="C89:D89"/>
    <mergeCell ref="B90:D90"/>
    <mergeCell ref="C79:D79"/>
    <mergeCell ref="C80:D80"/>
    <mergeCell ref="C81:D81"/>
    <mergeCell ref="B82:D82"/>
    <mergeCell ref="C83:D83"/>
    <mergeCell ref="B84:D84"/>
    <mergeCell ref="C72:D72"/>
    <mergeCell ref="C73:D73"/>
    <mergeCell ref="B74:D74"/>
    <mergeCell ref="C75:F75"/>
    <mergeCell ref="C76:F76"/>
    <mergeCell ref="B78:C78"/>
    <mergeCell ref="D78:F78"/>
    <mergeCell ref="C66:D66"/>
    <mergeCell ref="C67:D67"/>
    <mergeCell ref="C68:D68"/>
    <mergeCell ref="C69:D69"/>
    <mergeCell ref="C70:D70"/>
    <mergeCell ref="C71:D71"/>
    <mergeCell ref="C61:F61"/>
    <mergeCell ref="B63:C63"/>
    <mergeCell ref="D63:F63"/>
    <mergeCell ref="B64:C64"/>
    <mergeCell ref="D64:F64"/>
    <mergeCell ref="C65:D65"/>
    <mergeCell ref="C55:E55"/>
    <mergeCell ref="C56:E56"/>
    <mergeCell ref="C57:E57"/>
    <mergeCell ref="C58:E58"/>
    <mergeCell ref="C59:E59"/>
    <mergeCell ref="B60:E60"/>
    <mergeCell ref="B47:E47"/>
    <mergeCell ref="C48:F48"/>
    <mergeCell ref="B49:B52"/>
    <mergeCell ref="C49:F52"/>
    <mergeCell ref="B54:C54"/>
    <mergeCell ref="D54:F54"/>
    <mergeCell ref="C41:E41"/>
    <mergeCell ref="C42:E42"/>
    <mergeCell ref="C43:E43"/>
    <mergeCell ref="C44:E44"/>
    <mergeCell ref="C45:E45"/>
    <mergeCell ref="C46:E46"/>
    <mergeCell ref="C28:E28"/>
    <mergeCell ref="C36:D36"/>
    <mergeCell ref="B37:D37"/>
    <mergeCell ref="B39:C39"/>
    <mergeCell ref="D39:F39"/>
    <mergeCell ref="C40:E40"/>
    <mergeCell ref="C22:E22"/>
    <mergeCell ref="C23:E23"/>
    <mergeCell ref="C24:E24"/>
    <mergeCell ref="C25:E25"/>
    <mergeCell ref="C26:F26"/>
    <mergeCell ref="B27:C27"/>
    <mergeCell ref="D27:F27"/>
    <mergeCell ref="B16:C16"/>
    <mergeCell ref="E16:F16"/>
    <mergeCell ref="B18:F18"/>
    <mergeCell ref="B19:F19"/>
    <mergeCell ref="B20:F20"/>
    <mergeCell ref="B21:F21"/>
    <mergeCell ref="B14:F14"/>
    <mergeCell ref="B15:C15"/>
    <mergeCell ref="E15:F15"/>
    <mergeCell ref="B8:C8"/>
    <mergeCell ref="E8:F8"/>
    <mergeCell ref="B9:F9"/>
    <mergeCell ref="C10:D10"/>
    <mergeCell ref="E10:F10"/>
    <mergeCell ref="C11:D11"/>
    <mergeCell ref="E11:F11"/>
    <mergeCell ref="E2:F2"/>
    <mergeCell ref="B3:F3"/>
    <mergeCell ref="B4:F4"/>
    <mergeCell ref="E5:F5"/>
    <mergeCell ref="E6:F6"/>
    <mergeCell ref="B7:F7"/>
    <mergeCell ref="E12:F12"/>
    <mergeCell ref="C13:D13"/>
    <mergeCell ref="E13:F13"/>
  </mergeCells>
  <pageMargins left="0.511811024" right="0.511811024" top="0.78740157499999996" bottom="0.78740157499999996" header="0.31496062000000002" footer="0.31496062000000002"/>
  <pageSetup paperSize="9" scale="52" orientation="portrait" r:id="rId1"/>
  <rowBreaks count="1" manualBreakCount="1">
    <brk id="90" max="16383" man="1"/>
  </rowBreaks>
  <colBreaks count="1" manualBreakCount="1">
    <brk id="7" max="1048575" man="1"/>
  </colBreaks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E00-000000000000}">
          <x14:formula1>
            <xm:f>'#listas#'!$E$1:$E$22</xm:f>
          </x14:formula1>
          <xm:sqref>C2</xm:sqref>
        </x14:dataValidation>
      </x14:dataValidations>
    </ext>
  </extLst>
</worksheet>
</file>

<file path=xl/worksheets/sheet21.xml><?xml version="1.0" encoding="utf-8"?>
<worksheet xmlns="http://schemas.openxmlformats.org/spreadsheetml/2006/main" xmlns:r="http://schemas.openxmlformats.org/officeDocument/2006/relationships">
  <dimension ref="B1:J155"/>
  <sheetViews>
    <sheetView showGridLines="0" view="pageBreakPreview" topLeftCell="A55" zoomScaleNormal="115" zoomScaleSheetLayoutView="100" workbookViewId="0">
      <selection activeCell="C49" sqref="C49:F52"/>
    </sheetView>
  </sheetViews>
  <sheetFormatPr defaultColWidth="9.140625" defaultRowHeight="15" customHeight="1"/>
  <cols>
    <col min="1" max="1" width="4.42578125" style="5" customWidth="1"/>
    <col min="2" max="2" width="12.85546875" style="44" customWidth="1"/>
    <col min="3" max="3" width="43.42578125" style="44" customWidth="1"/>
    <col min="4" max="4" width="18.85546875" style="44" bestFit="1" customWidth="1"/>
    <col min="5" max="5" width="10.140625" style="85" bestFit="1" customWidth="1"/>
    <col min="6" max="6" width="11.7109375" style="45" customWidth="1"/>
    <col min="7" max="7" width="3.28515625" style="5" customWidth="1"/>
    <col min="8" max="8" width="12.140625" style="52" customWidth="1"/>
    <col min="9" max="16384" width="9.140625" style="5"/>
  </cols>
  <sheetData>
    <row r="1" spans="2:8" ht="15" customHeight="1">
      <c r="H1" s="47"/>
    </row>
    <row r="2" spans="2:8" s="49" customFormat="1" ht="15" customHeight="1">
      <c r="B2" s="8" t="s">
        <v>55</v>
      </c>
      <c r="C2" s="50" t="s">
        <v>21</v>
      </c>
      <c r="D2" s="8" t="s">
        <v>59</v>
      </c>
      <c r="E2" s="462"/>
      <c r="F2" s="462"/>
      <c r="H2" s="51"/>
    </row>
    <row r="3" spans="2:8" ht="21">
      <c r="B3" s="466"/>
      <c r="C3" s="466"/>
      <c r="D3" s="466"/>
      <c r="E3" s="466"/>
      <c r="F3" s="466"/>
    </row>
    <row r="4" spans="2:8" ht="15" customHeight="1">
      <c r="B4" s="362" t="s">
        <v>60</v>
      </c>
      <c r="C4" s="362"/>
      <c r="D4" s="362"/>
      <c r="E4" s="362"/>
      <c r="F4" s="362"/>
    </row>
    <row r="5" spans="2:8" ht="15" customHeight="1">
      <c r="B5" s="34" t="s">
        <v>62</v>
      </c>
      <c r="C5" s="30"/>
      <c r="D5" s="103" t="s">
        <v>63</v>
      </c>
      <c r="E5" s="468"/>
      <c r="F5" s="468"/>
    </row>
    <row r="6" spans="2:8" ht="15" customHeight="1">
      <c r="B6" s="34" t="s">
        <v>65</v>
      </c>
      <c r="C6" s="31"/>
      <c r="D6" s="34" t="s">
        <v>66</v>
      </c>
      <c r="E6" s="468"/>
      <c r="F6" s="468"/>
    </row>
    <row r="7" spans="2:8" ht="15" customHeight="1">
      <c r="B7" s="362" t="s">
        <v>67</v>
      </c>
      <c r="C7" s="362"/>
      <c r="D7" s="362"/>
      <c r="E7" s="362"/>
      <c r="F7" s="362"/>
    </row>
    <row r="8" spans="2:8" ht="15" customHeight="1">
      <c r="B8" s="459" t="s">
        <v>69</v>
      </c>
      <c r="C8" s="460"/>
      <c r="D8" s="34" t="s">
        <v>70</v>
      </c>
      <c r="E8" s="354"/>
      <c r="F8" s="355"/>
    </row>
    <row r="9" spans="2:8" ht="15" customHeight="1">
      <c r="B9" s="362" t="s">
        <v>75</v>
      </c>
      <c r="C9" s="362"/>
      <c r="D9" s="362"/>
      <c r="E9" s="362"/>
      <c r="F9" s="362"/>
    </row>
    <row r="10" spans="2:8" ht="15" customHeight="1">
      <c r="B10" s="34" t="s">
        <v>78</v>
      </c>
      <c r="C10" s="290" t="s">
        <v>79</v>
      </c>
      <c r="D10" s="291"/>
      <c r="E10" s="461"/>
      <c r="F10" s="461"/>
    </row>
    <row r="11" spans="2:8" ht="15" customHeight="1">
      <c r="B11" s="34" t="s">
        <v>83</v>
      </c>
      <c r="C11" s="290" t="s">
        <v>84</v>
      </c>
      <c r="D11" s="291"/>
      <c r="E11" s="300" t="s">
        <v>281</v>
      </c>
      <c r="F11" s="302"/>
    </row>
    <row r="12" spans="2:8" ht="15" customHeight="1">
      <c r="B12" s="34" t="s">
        <v>86</v>
      </c>
      <c r="C12" s="53" t="s">
        <v>87</v>
      </c>
      <c r="D12" s="54"/>
      <c r="E12" s="300" t="s">
        <v>288</v>
      </c>
      <c r="F12" s="302"/>
    </row>
    <row r="13" spans="2:8" ht="15" customHeight="1">
      <c r="B13" s="34" t="s">
        <v>88</v>
      </c>
      <c r="C13" s="322" t="s">
        <v>89</v>
      </c>
      <c r="D13" s="328"/>
      <c r="E13" s="300">
        <v>12</v>
      </c>
      <c r="F13" s="302"/>
    </row>
    <row r="14" spans="2:8" ht="15" customHeight="1">
      <c r="B14" s="362" t="s">
        <v>90</v>
      </c>
      <c r="C14" s="362"/>
      <c r="D14" s="362"/>
      <c r="E14" s="362"/>
      <c r="F14" s="362"/>
    </row>
    <row r="15" spans="2:8" ht="15" customHeight="1">
      <c r="B15" s="451" t="s">
        <v>91</v>
      </c>
      <c r="C15" s="451"/>
      <c r="D15" s="32" t="s">
        <v>92</v>
      </c>
      <c r="E15" s="452" t="s">
        <v>243</v>
      </c>
      <c r="F15" s="453"/>
    </row>
    <row r="16" spans="2:8" ht="15" customHeight="1">
      <c r="B16" s="455" t="s">
        <v>273</v>
      </c>
      <c r="C16" s="455"/>
      <c r="D16" s="9" t="s">
        <v>95</v>
      </c>
      <c r="E16" s="456">
        <v>10</v>
      </c>
      <c r="F16" s="456"/>
      <c r="H16" s="5"/>
    </row>
    <row r="17" spans="2:8" ht="15" customHeight="1">
      <c r="H17" s="5"/>
    </row>
    <row r="18" spans="2:8" ht="12.75" customHeight="1">
      <c r="B18" s="450"/>
      <c r="C18" s="450"/>
      <c r="D18" s="450"/>
      <c r="E18" s="450"/>
      <c r="F18" s="450"/>
      <c r="H18" s="5"/>
    </row>
    <row r="19" spans="2:8" ht="15" customHeight="1">
      <c r="B19" s="362" t="s">
        <v>71</v>
      </c>
      <c r="C19" s="362"/>
      <c r="D19" s="362"/>
      <c r="E19" s="362"/>
      <c r="F19" s="362"/>
      <c r="H19" s="5"/>
    </row>
    <row r="20" spans="2:8" ht="15" customHeight="1">
      <c r="B20" s="362" t="s">
        <v>96</v>
      </c>
      <c r="C20" s="362"/>
      <c r="D20" s="362"/>
      <c r="E20" s="362"/>
      <c r="F20" s="362"/>
      <c r="H20" s="5"/>
    </row>
    <row r="21" spans="2:8" ht="15" customHeight="1">
      <c r="B21" s="437" t="s">
        <v>98</v>
      </c>
      <c r="C21" s="437"/>
      <c r="D21" s="437"/>
      <c r="E21" s="437"/>
      <c r="F21" s="437"/>
      <c r="H21" s="5"/>
    </row>
    <row r="22" spans="2:8" ht="15" customHeight="1">
      <c r="B22" s="34">
        <v>1</v>
      </c>
      <c r="C22" s="449" t="s">
        <v>99</v>
      </c>
      <c r="D22" s="449"/>
      <c r="E22" s="449"/>
      <c r="F22" s="56"/>
      <c r="H22" s="5"/>
    </row>
    <row r="23" spans="2:8" ht="15" customHeight="1">
      <c r="B23" s="34">
        <v>2</v>
      </c>
      <c r="C23" s="437" t="s">
        <v>100</v>
      </c>
      <c r="D23" s="437"/>
      <c r="E23" s="437"/>
      <c r="F23" s="57">
        <v>904</v>
      </c>
      <c r="H23" s="5"/>
    </row>
    <row r="24" spans="2:8" ht="15" customHeight="1">
      <c r="B24" s="34">
        <v>3</v>
      </c>
      <c r="C24" s="437" t="s">
        <v>101</v>
      </c>
      <c r="D24" s="437"/>
      <c r="E24" s="437"/>
      <c r="F24" s="56"/>
      <c r="H24" s="5"/>
    </row>
    <row r="25" spans="2:8" ht="15" customHeight="1">
      <c r="B25" s="34">
        <v>4</v>
      </c>
      <c r="C25" s="437" t="s">
        <v>102</v>
      </c>
      <c r="D25" s="437"/>
      <c r="E25" s="437"/>
      <c r="F25" s="58">
        <v>42979</v>
      </c>
      <c r="H25" s="5"/>
    </row>
    <row r="26" spans="2:8" ht="15" customHeight="1">
      <c r="B26" s="37" t="s">
        <v>103</v>
      </c>
      <c r="C26" s="438" t="s">
        <v>104</v>
      </c>
      <c r="D26" s="438"/>
      <c r="E26" s="438"/>
      <c r="F26" s="438"/>
      <c r="H26" s="5"/>
    </row>
    <row r="27" spans="2:8" ht="15" customHeight="1">
      <c r="B27" s="362" t="s">
        <v>105</v>
      </c>
      <c r="C27" s="362"/>
      <c r="D27" s="362" t="s">
        <v>106</v>
      </c>
      <c r="E27" s="362"/>
      <c r="F27" s="362"/>
      <c r="H27" s="5"/>
    </row>
    <row r="28" spans="2:8" ht="15" customHeight="1">
      <c r="B28" s="101">
        <v>1</v>
      </c>
      <c r="C28" s="362" t="s">
        <v>107</v>
      </c>
      <c r="D28" s="362"/>
      <c r="E28" s="362"/>
      <c r="F28" s="68" t="s">
        <v>108</v>
      </c>
      <c r="H28" s="5"/>
    </row>
    <row r="29" spans="2:8" ht="15" customHeight="1">
      <c r="B29" s="34" t="s">
        <v>78</v>
      </c>
      <c r="C29" s="59" t="s">
        <v>109</v>
      </c>
      <c r="D29" s="60"/>
      <c r="E29" s="80"/>
      <c r="F29" s="61">
        <v>937</v>
      </c>
      <c r="H29" s="5"/>
    </row>
    <row r="30" spans="2:8" ht="15" customHeight="1">
      <c r="B30" s="34" t="s">
        <v>83</v>
      </c>
      <c r="C30" s="59" t="s">
        <v>110</v>
      </c>
      <c r="D30" s="60"/>
      <c r="E30" s="80"/>
      <c r="F30" s="61">
        <f>$F$29*E30</f>
        <v>0</v>
      </c>
      <c r="H30" s="5"/>
    </row>
    <row r="31" spans="2:8" ht="15" customHeight="1">
      <c r="B31" s="34" t="s">
        <v>86</v>
      </c>
      <c r="C31" s="59" t="s">
        <v>111</v>
      </c>
      <c r="D31" s="60"/>
      <c r="E31" s="81">
        <v>0.2</v>
      </c>
      <c r="F31" s="61">
        <f>$F$29*E31</f>
        <v>187.4</v>
      </c>
      <c r="H31" s="5"/>
    </row>
    <row r="32" spans="2:8" ht="15" customHeight="1">
      <c r="B32" s="34" t="s">
        <v>88</v>
      </c>
      <c r="C32" s="59" t="s">
        <v>112</v>
      </c>
      <c r="D32" s="60"/>
      <c r="E32" s="80"/>
      <c r="F32" s="61">
        <f t="shared" ref="F32:F36" si="0">$F$29*E32</f>
        <v>0</v>
      </c>
      <c r="H32" s="5"/>
    </row>
    <row r="33" spans="2:8" ht="15" customHeight="1">
      <c r="B33" s="34" t="s">
        <v>113</v>
      </c>
      <c r="C33" s="59" t="s">
        <v>114</v>
      </c>
      <c r="D33" s="60"/>
      <c r="E33" s="80"/>
      <c r="F33" s="61">
        <f t="shared" si="0"/>
        <v>0</v>
      </c>
      <c r="H33" s="5"/>
    </row>
    <row r="34" spans="2:8" ht="15" customHeight="1">
      <c r="B34" s="34" t="s">
        <v>116</v>
      </c>
      <c r="C34" s="59" t="s">
        <v>275</v>
      </c>
      <c r="D34" s="60"/>
      <c r="E34" s="114">
        <v>22</v>
      </c>
      <c r="F34" s="61">
        <f>F29/220*2*E34</f>
        <v>187.4</v>
      </c>
      <c r="H34" s="5"/>
    </row>
    <row r="35" spans="2:8" ht="15" customHeight="1">
      <c r="B35" s="34" t="s">
        <v>122</v>
      </c>
      <c r="C35" s="59" t="s">
        <v>123</v>
      </c>
      <c r="D35" s="60"/>
      <c r="E35" s="80"/>
      <c r="F35" s="61">
        <f t="shared" si="0"/>
        <v>0</v>
      </c>
      <c r="H35" s="5"/>
    </row>
    <row r="36" spans="2:8" ht="15" customHeight="1">
      <c r="B36" s="102" t="s">
        <v>125</v>
      </c>
      <c r="C36" s="290" t="s">
        <v>126</v>
      </c>
      <c r="D36" s="292"/>
      <c r="E36" s="81"/>
      <c r="F36" s="61">
        <f t="shared" si="0"/>
        <v>0</v>
      </c>
      <c r="H36" s="5"/>
    </row>
    <row r="37" spans="2:8" ht="15" customHeight="1">
      <c r="B37" s="293" t="s">
        <v>128</v>
      </c>
      <c r="C37" s="294"/>
      <c r="D37" s="295"/>
      <c r="E37" s="86">
        <f>SUM(E30:E36)</f>
        <v>22.2</v>
      </c>
      <c r="F37" s="69">
        <f>SUM(F29:F36)</f>
        <v>1311.8</v>
      </c>
      <c r="H37" s="5"/>
    </row>
    <row r="38" spans="2:8" ht="15" customHeight="1">
      <c r="H38" s="5"/>
    </row>
    <row r="39" spans="2:8" ht="15" customHeight="1">
      <c r="B39" s="362" t="s">
        <v>130</v>
      </c>
      <c r="C39" s="362"/>
      <c r="D39" s="362" t="s">
        <v>131</v>
      </c>
      <c r="E39" s="362"/>
      <c r="F39" s="362"/>
      <c r="H39" s="5"/>
    </row>
    <row r="40" spans="2:8" ht="15" customHeight="1">
      <c r="B40" s="101">
        <v>2</v>
      </c>
      <c r="C40" s="362" t="s">
        <v>132</v>
      </c>
      <c r="D40" s="362"/>
      <c r="E40" s="362"/>
      <c r="F40" s="68" t="s">
        <v>108</v>
      </c>
      <c r="H40" s="5"/>
    </row>
    <row r="41" spans="2:8" ht="15" customHeight="1">
      <c r="B41" s="102" t="s">
        <v>78</v>
      </c>
      <c r="C41" s="290" t="s">
        <v>133</v>
      </c>
      <c r="D41" s="291"/>
      <c r="E41" s="292"/>
      <c r="F41" s="33">
        <v>0</v>
      </c>
      <c r="H41" s="5"/>
    </row>
    <row r="42" spans="2:8" ht="15" customHeight="1">
      <c r="B42" s="102" t="s">
        <v>83</v>
      </c>
      <c r="C42" s="393" t="s">
        <v>134</v>
      </c>
      <c r="D42" s="393"/>
      <c r="E42" s="393"/>
      <c r="F42" s="33">
        <v>0</v>
      </c>
      <c r="H42" s="5"/>
    </row>
    <row r="43" spans="2:8" ht="15" customHeight="1">
      <c r="B43" s="34" t="s">
        <v>86</v>
      </c>
      <c r="C43" s="382" t="s">
        <v>135</v>
      </c>
      <c r="D43" s="382"/>
      <c r="E43" s="382"/>
      <c r="F43" s="62">
        <v>0</v>
      </c>
      <c r="H43" s="5"/>
    </row>
    <row r="44" spans="2:8" ht="15" customHeight="1">
      <c r="B44" s="34" t="s">
        <v>88</v>
      </c>
      <c r="C44" s="382" t="s">
        <v>136</v>
      </c>
      <c r="D44" s="382"/>
      <c r="E44" s="382"/>
      <c r="F44" s="62">
        <v>0</v>
      </c>
      <c r="H44" s="5"/>
    </row>
    <row r="45" spans="2:8" ht="15" customHeight="1">
      <c r="B45" s="34" t="s">
        <v>113</v>
      </c>
      <c r="C45" s="382" t="s">
        <v>138</v>
      </c>
      <c r="D45" s="382"/>
      <c r="E45" s="382"/>
      <c r="F45" s="62">
        <v>0</v>
      </c>
      <c r="H45" s="5"/>
    </row>
    <row r="46" spans="2:8" ht="15" customHeight="1">
      <c r="B46" s="102" t="s">
        <v>116</v>
      </c>
      <c r="C46" s="382" t="s">
        <v>258</v>
      </c>
      <c r="D46" s="382"/>
      <c r="E46" s="382"/>
      <c r="F46" s="62">
        <v>0</v>
      </c>
      <c r="H46" s="5"/>
    </row>
    <row r="47" spans="2:8" ht="15" customHeight="1">
      <c r="B47" s="362" t="s">
        <v>143</v>
      </c>
      <c r="C47" s="362"/>
      <c r="D47" s="362"/>
      <c r="E47" s="362"/>
      <c r="F47" s="69">
        <f>SUM(F41:F46)</f>
        <v>0</v>
      </c>
      <c r="H47" s="5"/>
    </row>
    <row r="48" spans="2:8" ht="27.75" customHeight="1">
      <c r="B48" s="34" t="s">
        <v>145</v>
      </c>
      <c r="C48" s="309" t="s">
        <v>146</v>
      </c>
      <c r="D48" s="310"/>
      <c r="E48" s="310"/>
      <c r="F48" s="311"/>
      <c r="H48" s="5"/>
    </row>
    <row r="49" spans="2:8" ht="35.25" customHeight="1">
      <c r="B49" s="317" t="s">
        <v>148</v>
      </c>
      <c r="C49" s="373" t="s">
        <v>149</v>
      </c>
      <c r="D49" s="374"/>
      <c r="E49" s="374"/>
      <c r="F49" s="375"/>
      <c r="H49" s="5"/>
    </row>
    <row r="50" spans="2:8" ht="11.25" customHeight="1">
      <c r="B50" s="318"/>
      <c r="C50" s="376"/>
      <c r="D50" s="377"/>
      <c r="E50" s="377"/>
      <c r="F50" s="378"/>
      <c r="H50" s="5"/>
    </row>
    <row r="51" spans="2:8" ht="21.75" customHeight="1">
      <c r="B51" s="318"/>
      <c r="C51" s="376"/>
      <c r="D51" s="377"/>
      <c r="E51" s="377"/>
      <c r="F51" s="378"/>
      <c r="H51" s="5"/>
    </row>
    <row r="52" spans="2:8" ht="20.25" customHeight="1">
      <c r="B52" s="319"/>
      <c r="C52" s="379"/>
      <c r="D52" s="380"/>
      <c r="E52" s="380"/>
      <c r="F52" s="381"/>
      <c r="H52" s="5"/>
    </row>
    <row r="53" spans="2:8" ht="15" customHeight="1">
      <c r="H53" s="5"/>
    </row>
    <row r="54" spans="2:8" ht="15" customHeight="1">
      <c r="B54" s="293" t="s">
        <v>153</v>
      </c>
      <c r="C54" s="295"/>
      <c r="D54" s="293" t="s">
        <v>154</v>
      </c>
      <c r="E54" s="294"/>
      <c r="F54" s="295"/>
      <c r="H54" s="5"/>
    </row>
    <row r="55" spans="2:8" ht="15" customHeight="1">
      <c r="B55" s="101">
        <v>3</v>
      </c>
      <c r="C55" s="293" t="s">
        <v>155</v>
      </c>
      <c r="D55" s="294"/>
      <c r="E55" s="295"/>
      <c r="F55" s="68" t="s">
        <v>108</v>
      </c>
      <c r="H55" s="5"/>
    </row>
    <row r="56" spans="2:8" ht="15" customHeight="1">
      <c r="B56" s="34" t="s">
        <v>78</v>
      </c>
      <c r="C56" s="290" t="s">
        <v>156</v>
      </c>
      <c r="D56" s="291"/>
      <c r="E56" s="292"/>
      <c r="F56" s="35">
        <v>12</v>
      </c>
      <c r="H56" s="5"/>
    </row>
    <row r="57" spans="2:8" ht="15" customHeight="1">
      <c r="B57" s="34" t="s">
        <v>83</v>
      </c>
      <c r="C57" s="290" t="s">
        <v>157</v>
      </c>
      <c r="D57" s="291"/>
      <c r="E57" s="292"/>
      <c r="F57" s="35">
        <v>169.26</v>
      </c>
      <c r="H57" s="5"/>
    </row>
    <row r="58" spans="2:8" ht="15" customHeight="1">
      <c r="B58" s="34" t="s">
        <v>86</v>
      </c>
      <c r="C58" s="290" t="s">
        <v>158</v>
      </c>
      <c r="D58" s="291"/>
      <c r="E58" s="292"/>
      <c r="F58" s="35">
        <v>0</v>
      </c>
      <c r="H58" s="5"/>
    </row>
    <row r="59" spans="2:8" ht="15" customHeight="1">
      <c r="B59" s="102" t="s">
        <v>88</v>
      </c>
      <c r="C59" s="322" t="s">
        <v>259</v>
      </c>
      <c r="D59" s="328"/>
      <c r="E59" s="323"/>
      <c r="F59" s="36">
        <f>F58*-0.8</f>
        <v>0</v>
      </c>
      <c r="H59" s="5"/>
    </row>
    <row r="60" spans="2:8" ht="15" customHeight="1">
      <c r="B60" s="293" t="s">
        <v>159</v>
      </c>
      <c r="C60" s="294"/>
      <c r="D60" s="294"/>
      <c r="E60" s="295"/>
      <c r="F60" s="69">
        <f>SUM(F56:F59)</f>
        <v>181.26</v>
      </c>
      <c r="H60" s="5"/>
    </row>
    <row r="61" spans="2:8" ht="15" customHeight="1">
      <c r="B61" s="37" t="s">
        <v>103</v>
      </c>
      <c r="C61" s="306" t="s">
        <v>160</v>
      </c>
      <c r="D61" s="307"/>
      <c r="E61" s="307"/>
      <c r="F61" s="308"/>
      <c r="H61" s="5"/>
    </row>
    <row r="62" spans="2:8" ht="15" customHeight="1">
      <c r="H62" s="5"/>
    </row>
    <row r="63" spans="2:8" ht="15" customHeight="1">
      <c r="B63" s="293" t="s">
        <v>161</v>
      </c>
      <c r="C63" s="295"/>
      <c r="D63" s="293" t="s">
        <v>162</v>
      </c>
      <c r="E63" s="294"/>
      <c r="F63" s="295"/>
      <c r="H63" s="5"/>
    </row>
    <row r="64" spans="2:8" ht="15" customHeight="1">
      <c r="B64" s="293" t="s">
        <v>163</v>
      </c>
      <c r="C64" s="295"/>
      <c r="D64" s="293" t="s">
        <v>164</v>
      </c>
      <c r="E64" s="294"/>
      <c r="F64" s="295"/>
      <c r="H64" s="5"/>
    </row>
    <row r="65" spans="2:8" ht="15" customHeight="1">
      <c r="B65" s="101" t="s">
        <v>165</v>
      </c>
      <c r="C65" s="293" t="s">
        <v>164</v>
      </c>
      <c r="D65" s="295"/>
      <c r="E65" s="87" t="s">
        <v>166</v>
      </c>
      <c r="F65" s="68" t="s">
        <v>108</v>
      </c>
      <c r="H65" s="5"/>
    </row>
    <row r="66" spans="2:8" ht="15" customHeight="1">
      <c r="B66" s="34" t="s">
        <v>78</v>
      </c>
      <c r="C66" s="290" t="s">
        <v>167</v>
      </c>
      <c r="D66" s="292"/>
      <c r="E66" s="80">
        <v>0.2</v>
      </c>
      <c r="F66" s="38">
        <f>E66*$F$37</f>
        <v>262.36</v>
      </c>
      <c r="H66" s="5"/>
    </row>
    <row r="67" spans="2:8" ht="15" customHeight="1">
      <c r="B67" s="34" t="s">
        <v>83</v>
      </c>
      <c r="C67" s="290" t="s">
        <v>168</v>
      </c>
      <c r="D67" s="292"/>
      <c r="E67" s="80">
        <v>1.4999999999999999E-2</v>
      </c>
      <c r="F67" s="38">
        <f t="shared" ref="F67:F73" si="1">E67*$F$37</f>
        <v>19.68</v>
      </c>
      <c r="H67" s="5"/>
    </row>
    <row r="68" spans="2:8" ht="15" customHeight="1">
      <c r="B68" s="34" t="s">
        <v>86</v>
      </c>
      <c r="C68" s="290" t="s">
        <v>169</v>
      </c>
      <c r="D68" s="292"/>
      <c r="E68" s="80">
        <v>0.01</v>
      </c>
      <c r="F68" s="38">
        <f t="shared" si="1"/>
        <v>13.12</v>
      </c>
      <c r="H68" s="5"/>
    </row>
    <row r="69" spans="2:8" ht="15" customHeight="1">
      <c r="B69" s="34" t="s">
        <v>88</v>
      </c>
      <c r="C69" s="290" t="s">
        <v>170</v>
      </c>
      <c r="D69" s="292"/>
      <c r="E69" s="80">
        <v>2E-3</v>
      </c>
      <c r="F69" s="38">
        <f t="shared" si="1"/>
        <v>2.62</v>
      </c>
      <c r="H69" s="5"/>
    </row>
    <row r="70" spans="2:8" ht="15" customHeight="1">
      <c r="B70" s="34" t="s">
        <v>113</v>
      </c>
      <c r="C70" s="290" t="s">
        <v>171</v>
      </c>
      <c r="D70" s="292"/>
      <c r="E70" s="80">
        <v>2.5000000000000001E-2</v>
      </c>
      <c r="F70" s="38">
        <f t="shared" si="1"/>
        <v>32.799999999999997</v>
      </c>
      <c r="H70" s="5"/>
    </row>
    <row r="71" spans="2:8" ht="15" customHeight="1">
      <c r="B71" s="34" t="s">
        <v>116</v>
      </c>
      <c r="C71" s="290" t="s">
        <v>172</v>
      </c>
      <c r="D71" s="292"/>
      <c r="E71" s="80">
        <v>0.08</v>
      </c>
      <c r="F71" s="38">
        <f t="shared" si="1"/>
        <v>104.94</v>
      </c>
      <c r="H71" s="5"/>
    </row>
    <row r="72" spans="2:8" ht="15" customHeight="1">
      <c r="B72" s="34" t="s">
        <v>122</v>
      </c>
      <c r="C72" s="290" t="s">
        <v>261</v>
      </c>
      <c r="D72" s="292"/>
      <c r="E72" s="80">
        <v>2.3E-2</v>
      </c>
      <c r="F72" s="38">
        <f t="shared" si="1"/>
        <v>30.17</v>
      </c>
      <c r="H72" s="5"/>
    </row>
    <row r="73" spans="2:8" ht="15" customHeight="1">
      <c r="B73" s="34" t="s">
        <v>125</v>
      </c>
      <c r="C73" s="290" t="s">
        <v>174</v>
      </c>
      <c r="D73" s="292"/>
      <c r="E73" s="80">
        <v>6.0000000000000001E-3</v>
      </c>
      <c r="F73" s="38">
        <f t="shared" si="1"/>
        <v>7.87</v>
      </c>
      <c r="H73" s="5"/>
    </row>
    <row r="74" spans="2:8" ht="15" customHeight="1">
      <c r="B74" s="293" t="s">
        <v>57</v>
      </c>
      <c r="C74" s="294"/>
      <c r="D74" s="295"/>
      <c r="E74" s="79">
        <f>SUM(E66:E73)</f>
        <v>0.36099999999999999</v>
      </c>
      <c r="F74" s="69">
        <f>SUM(F66:F73)</f>
        <v>473.56</v>
      </c>
      <c r="H74" s="5"/>
    </row>
    <row r="75" spans="2:8" ht="15" customHeight="1">
      <c r="B75" s="39" t="s">
        <v>145</v>
      </c>
      <c r="C75" s="309" t="s">
        <v>175</v>
      </c>
      <c r="D75" s="310"/>
      <c r="E75" s="310"/>
      <c r="F75" s="311"/>
      <c r="H75" s="5"/>
    </row>
    <row r="76" spans="2:8" ht="15" customHeight="1">
      <c r="B76" s="39" t="s">
        <v>148</v>
      </c>
      <c r="C76" s="331" t="s">
        <v>176</v>
      </c>
      <c r="D76" s="332"/>
      <c r="E76" s="332"/>
      <c r="F76" s="333"/>
      <c r="H76" s="5"/>
    </row>
    <row r="77" spans="2:8" ht="15" customHeight="1">
      <c r="H77" s="5"/>
    </row>
    <row r="78" spans="2:8" ht="15" customHeight="1">
      <c r="B78" s="293" t="s">
        <v>177</v>
      </c>
      <c r="C78" s="295"/>
      <c r="D78" s="293" t="s">
        <v>178</v>
      </c>
      <c r="E78" s="294"/>
      <c r="F78" s="295"/>
      <c r="H78" s="5"/>
    </row>
    <row r="79" spans="2:8" ht="15" customHeight="1">
      <c r="B79" s="101" t="s">
        <v>179</v>
      </c>
      <c r="C79" s="293" t="s">
        <v>180</v>
      </c>
      <c r="D79" s="295"/>
      <c r="E79" s="87" t="s">
        <v>166</v>
      </c>
      <c r="F79" s="68" t="s">
        <v>108</v>
      </c>
      <c r="H79" s="5"/>
    </row>
    <row r="80" spans="2:8" ht="15" customHeight="1">
      <c r="B80" s="34" t="s">
        <v>78</v>
      </c>
      <c r="C80" s="290" t="s">
        <v>181</v>
      </c>
      <c r="D80" s="292"/>
      <c r="E80" s="80">
        <v>8.3330000000000001E-2</v>
      </c>
      <c r="F80" s="38">
        <f t="shared" ref="F80:F81" si="2">E80*$F$37</f>
        <v>109.31</v>
      </c>
      <c r="H80" s="5"/>
    </row>
    <row r="81" spans="2:8" ht="15" customHeight="1">
      <c r="B81" s="64" t="s">
        <v>83</v>
      </c>
      <c r="C81" s="329" t="s">
        <v>182</v>
      </c>
      <c r="D81" s="330"/>
      <c r="E81" s="82">
        <v>2.7779999999999999E-2</v>
      </c>
      <c r="F81" s="38">
        <f t="shared" si="2"/>
        <v>36.44</v>
      </c>
      <c r="H81" s="5"/>
    </row>
    <row r="82" spans="2:8" ht="15" customHeight="1">
      <c r="B82" s="293" t="s">
        <v>183</v>
      </c>
      <c r="C82" s="294"/>
      <c r="D82" s="295"/>
      <c r="E82" s="83">
        <f>SUM(E80:E81)</f>
        <v>0.11111</v>
      </c>
      <c r="F82" s="70">
        <f>SUM(F80:F81)</f>
        <v>145.75</v>
      </c>
      <c r="H82" s="5"/>
    </row>
    <row r="83" spans="2:8" s="63" customFormat="1" ht="15" customHeight="1">
      <c r="B83" s="102" t="s">
        <v>86</v>
      </c>
      <c r="C83" s="322" t="s">
        <v>184</v>
      </c>
      <c r="D83" s="323"/>
      <c r="E83" s="88">
        <f>E74*E82</f>
        <v>4.011E-2</v>
      </c>
      <c r="F83" s="94">
        <f>F82*E74</f>
        <v>52.62</v>
      </c>
    </row>
    <row r="84" spans="2:8" ht="15" customHeight="1">
      <c r="B84" s="293" t="s">
        <v>57</v>
      </c>
      <c r="C84" s="294"/>
      <c r="D84" s="295"/>
      <c r="E84" s="79">
        <f>SUM(E82:E83)</f>
        <v>0.15121999999999999</v>
      </c>
      <c r="F84" s="71">
        <f>SUM(F82:F83)</f>
        <v>198.37</v>
      </c>
      <c r="H84" s="5"/>
    </row>
    <row r="85" spans="2:8" ht="15" customHeight="1">
      <c r="H85" s="5"/>
    </row>
    <row r="86" spans="2:8" ht="15" customHeight="1">
      <c r="B86" s="293" t="s">
        <v>185</v>
      </c>
      <c r="C86" s="295"/>
      <c r="D86" s="293" t="s">
        <v>186</v>
      </c>
      <c r="E86" s="294"/>
      <c r="F86" s="295"/>
      <c r="H86" s="5"/>
    </row>
    <row r="87" spans="2:8" ht="15" customHeight="1">
      <c r="B87" s="101" t="s">
        <v>187</v>
      </c>
      <c r="C87" s="293" t="s">
        <v>186</v>
      </c>
      <c r="D87" s="295"/>
      <c r="E87" s="87" t="s">
        <v>166</v>
      </c>
      <c r="F87" s="68" t="s">
        <v>108</v>
      </c>
      <c r="H87" s="5"/>
    </row>
    <row r="88" spans="2:8" ht="15" customHeight="1">
      <c r="B88" s="34" t="s">
        <v>78</v>
      </c>
      <c r="C88" s="290" t="s">
        <v>186</v>
      </c>
      <c r="D88" s="292"/>
      <c r="E88" s="78">
        <v>2.8700000000000002E-3</v>
      </c>
      <c r="F88" s="38">
        <f t="shared" ref="F88" si="3">E88*$F$37</f>
        <v>3.76</v>
      </c>
      <c r="H88" s="5"/>
    </row>
    <row r="89" spans="2:8" ht="15" customHeight="1">
      <c r="B89" s="102" t="s">
        <v>83</v>
      </c>
      <c r="C89" s="322" t="s">
        <v>188</v>
      </c>
      <c r="D89" s="323"/>
      <c r="E89" s="88">
        <f>E74*E88</f>
        <v>1.0399999999999999E-3</v>
      </c>
      <c r="F89" s="94">
        <f>F88*E74</f>
        <v>1.36</v>
      </c>
      <c r="H89" s="5"/>
    </row>
    <row r="90" spans="2:8" ht="15" customHeight="1">
      <c r="B90" s="293" t="s">
        <v>57</v>
      </c>
      <c r="C90" s="294"/>
      <c r="D90" s="295"/>
      <c r="E90" s="89">
        <f>SUM(E88:E89)</f>
        <v>3.9100000000000003E-3</v>
      </c>
      <c r="F90" s="69">
        <f>SUM(F88:F89)</f>
        <v>5.12</v>
      </c>
      <c r="H90" s="5"/>
    </row>
    <row r="91" spans="2:8" ht="15" customHeight="1">
      <c r="H91" s="5"/>
    </row>
    <row r="92" spans="2:8" ht="15" customHeight="1">
      <c r="B92" s="293" t="s">
        <v>189</v>
      </c>
      <c r="C92" s="295"/>
      <c r="D92" s="293" t="s">
        <v>190</v>
      </c>
      <c r="E92" s="294"/>
      <c r="F92" s="295"/>
      <c r="H92" s="5"/>
    </row>
    <row r="93" spans="2:8" ht="15" customHeight="1">
      <c r="B93" s="101" t="s">
        <v>191</v>
      </c>
      <c r="C93" s="293" t="s">
        <v>190</v>
      </c>
      <c r="D93" s="295"/>
      <c r="E93" s="87" t="s">
        <v>166</v>
      </c>
      <c r="F93" s="68" t="s">
        <v>108</v>
      </c>
      <c r="H93" s="5"/>
    </row>
    <row r="94" spans="2:8" ht="15" customHeight="1">
      <c r="B94" s="34" t="s">
        <v>78</v>
      </c>
      <c r="C94" s="290" t="s">
        <v>192</v>
      </c>
      <c r="D94" s="292"/>
      <c r="E94" s="78">
        <v>4.1700000000000001E-3</v>
      </c>
      <c r="F94" s="38">
        <f t="shared" ref="F94" si="4">E94*$F$37</f>
        <v>5.47</v>
      </c>
      <c r="H94" s="5"/>
    </row>
    <row r="95" spans="2:8" ht="15" customHeight="1">
      <c r="B95" s="34" t="s">
        <v>83</v>
      </c>
      <c r="C95" s="326" t="s">
        <v>193</v>
      </c>
      <c r="D95" s="327"/>
      <c r="E95" s="78">
        <f>E94*E71</f>
        <v>3.3E-4</v>
      </c>
      <c r="F95" s="38">
        <f>F94*E71</f>
        <v>0.44</v>
      </c>
      <c r="H95" s="5"/>
    </row>
    <row r="96" spans="2:8" ht="15" customHeight="1">
      <c r="B96" s="34" t="s">
        <v>86</v>
      </c>
      <c r="C96" s="290" t="s">
        <v>194</v>
      </c>
      <c r="D96" s="292"/>
      <c r="E96" s="78">
        <v>3.2000000000000001E-2</v>
      </c>
      <c r="F96" s="38">
        <f t="shared" ref="F96:F97" si="5">E96*$F$37</f>
        <v>41.98</v>
      </c>
      <c r="H96" s="5"/>
    </row>
    <row r="97" spans="2:8" ht="15" customHeight="1">
      <c r="B97" s="34" t="s">
        <v>88</v>
      </c>
      <c r="C97" s="290" t="s">
        <v>195</v>
      </c>
      <c r="D97" s="292"/>
      <c r="E97" s="78">
        <v>1.9439999999999999E-2</v>
      </c>
      <c r="F97" s="38">
        <f t="shared" si="5"/>
        <v>25.5</v>
      </c>
      <c r="H97" s="5"/>
    </row>
    <row r="98" spans="2:8" ht="15" customHeight="1">
      <c r="B98" s="34" t="s">
        <v>113</v>
      </c>
      <c r="C98" s="326" t="s">
        <v>196</v>
      </c>
      <c r="D98" s="327"/>
      <c r="E98" s="78">
        <f>E97*E74</f>
        <v>7.0200000000000002E-3</v>
      </c>
      <c r="F98" s="94">
        <f>F97*E74</f>
        <v>9.2100000000000009</v>
      </c>
      <c r="H98" s="5"/>
    </row>
    <row r="99" spans="2:8" ht="15" customHeight="1">
      <c r="B99" s="102" t="s">
        <v>88</v>
      </c>
      <c r="C99" s="290" t="s">
        <v>197</v>
      </c>
      <c r="D99" s="292"/>
      <c r="E99" s="78">
        <v>8.0000000000000002E-3</v>
      </c>
      <c r="F99" s="38">
        <f t="shared" ref="F99" si="6">E99*$F$37</f>
        <v>10.49</v>
      </c>
      <c r="H99" s="5"/>
    </row>
    <row r="100" spans="2:8" ht="15" customHeight="1">
      <c r="B100" s="293" t="s">
        <v>57</v>
      </c>
      <c r="C100" s="294"/>
      <c r="D100" s="295"/>
      <c r="E100" s="79">
        <f>SUM(E94:E99)</f>
        <v>7.0959999999999995E-2</v>
      </c>
      <c r="F100" s="69">
        <f>SUM(F94:F99)</f>
        <v>93.09</v>
      </c>
      <c r="H100" s="5"/>
    </row>
    <row r="101" spans="2:8" ht="27" customHeight="1">
      <c r="B101" s="32" t="s">
        <v>145</v>
      </c>
      <c r="C101" s="322" t="s">
        <v>198</v>
      </c>
      <c r="D101" s="328"/>
      <c r="E101" s="328"/>
      <c r="F101" s="323"/>
      <c r="H101" s="5"/>
    </row>
    <row r="102" spans="2:8" ht="24.75" customHeight="1">
      <c r="B102" s="32" t="s">
        <v>148</v>
      </c>
      <c r="C102" s="322" t="s">
        <v>199</v>
      </c>
      <c r="D102" s="328"/>
      <c r="E102" s="328"/>
      <c r="F102" s="323"/>
      <c r="H102" s="5"/>
    </row>
    <row r="103" spans="2:8" ht="15" customHeight="1">
      <c r="H103" s="5"/>
    </row>
    <row r="104" spans="2:8" ht="15" customHeight="1">
      <c r="B104" s="293" t="s">
        <v>200</v>
      </c>
      <c r="C104" s="295"/>
      <c r="D104" s="293" t="s">
        <v>201</v>
      </c>
      <c r="E104" s="294"/>
      <c r="F104" s="295"/>
      <c r="H104" s="5"/>
    </row>
    <row r="105" spans="2:8" ht="15" customHeight="1">
      <c r="B105" s="101" t="s">
        <v>202</v>
      </c>
      <c r="C105" s="324" t="s">
        <v>203</v>
      </c>
      <c r="D105" s="325"/>
      <c r="E105" s="87" t="s">
        <v>166</v>
      </c>
      <c r="F105" s="68" t="s">
        <v>108</v>
      </c>
      <c r="H105" s="5"/>
    </row>
    <row r="106" spans="2:8" ht="15" customHeight="1">
      <c r="B106" s="34" t="s">
        <v>78</v>
      </c>
      <c r="C106" s="290" t="s">
        <v>204</v>
      </c>
      <c r="D106" s="292"/>
      <c r="E106" s="80">
        <v>0.11111</v>
      </c>
      <c r="F106" s="38">
        <f t="shared" ref="F106:F111" si="7">E106*$F$37</f>
        <v>145.75</v>
      </c>
      <c r="H106" s="5"/>
    </row>
    <row r="107" spans="2:8" ht="15" customHeight="1">
      <c r="B107" s="34" t="s">
        <v>83</v>
      </c>
      <c r="C107" s="326" t="s">
        <v>205</v>
      </c>
      <c r="D107" s="327"/>
      <c r="E107" s="80">
        <v>1.389E-2</v>
      </c>
      <c r="F107" s="38">
        <f t="shared" si="7"/>
        <v>18.22</v>
      </c>
      <c r="H107" s="5"/>
    </row>
    <row r="108" spans="2:8" ht="15" customHeight="1">
      <c r="B108" s="34" t="s">
        <v>86</v>
      </c>
      <c r="C108" s="290" t="s">
        <v>206</v>
      </c>
      <c r="D108" s="292"/>
      <c r="E108" s="80">
        <v>2.1000000000000001E-4</v>
      </c>
      <c r="F108" s="38">
        <f t="shared" si="7"/>
        <v>0.28000000000000003</v>
      </c>
      <c r="H108" s="5"/>
    </row>
    <row r="109" spans="2:8" ht="15" customHeight="1">
      <c r="B109" s="34" t="s">
        <v>88</v>
      </c>
      <c r="C109" s="290" t="s">
        <v>207</v>
      </c>
      <c r="D109" s="292"/>
      <c r="E109" s="80">
        <v>2.7799999999999999E-3</v>
      </c>
      <c r="F109" s="38">
        <f t="shared" si="7"/>
        <v>3.65</v>
      </c>
      <c r="H109" s="5"/>
    </row>
    <row r="110" spans="2:8" ht="15" customHeight="1">
      <c r="B110" s="34" t="s">
        <v>113</v>
      </c>
      <c r="C110" s="290" t="s">
        <v>208</v>
      </c>
      <c r="D110" s="292"/>
      <c r="E110" s="80">
        <v>3.3300000000000001E-3</v>
      </c>
      <c r="F110" s="38">
        <f t="shared" si="7"/>
        <v>4.37</v>
      </c>
      <c r="H110" s="5"/>
    </row>
    <row r="111" spans="2:8" ht="15" customHeight="1">
      <c r="B111" s="102" t="s">
        <v>116</v>
      </c>
      <c r="C111" s="322" t="s">
        <v>126</v>
      </c>
      <c r="D111" s="323"/>
      <c r="E111" s="80">
        <v>0</v>
      </c>
      <c r="F111" s="38">
        <f t="shared" si="7"/>
        <v>0</v>
      </c>
      <c r="H111" s="5"/>
    </row>
    <row r="112" spans="2:8" ht="15" customHeight="1">
      <c r="B112" s="293" t="s">
        <v>183</v>
      </c>
      <c r="C112" s="294"/>
      <c r="D112" s="295"/>
      <c r="E112" s="79">
        <f>SUM(E106:E111)</f>
        <v>0.13131999999999999</v>
      </c>
      <c r="F112" s="73">
        <f>SUM(F106:F111)</f>
        <v>172.27</v>
      </c>
      <c r="H112" s="5"/>
    </row>
    <row r="113" spans="2:8" ht="15" customHeight="1">
      <c r="B113" s="102" t="s">
        <v>122</v>
      </c>
      <c r="C113" s="326" t="s">
        <v>209</v>
      </c>
      <c r="D113" s="327"/>
      <c r="E113" s="78">
        <f>E74*E112</f>
        <v>4.7410000000000001E-2</v>
      </c>
      <c r="F113" s="76">
        <f>E74*F112</f>
        <v>62.19</v>
      </c>
      <c r="H113" s="5"/>
    </row>
    <row r="114" spans="2:8" ht="15" customHeight="1">
      <c r="B114" s="293" t="s">
        <v>57</v>
      </c>
      <c r="C114" s="294"/>
      <c r="D114" s="295"/>
      <c r="E114" s="79">
        <f>SUM(E112:E113)</f>
        <v>0.17873</v>
      </c>
      <c r="F114" s="69">
        <f>SUM(F112:F113)</f>
        <v>234.46</v>
      </c>
      <c r="H114" s="5"/>
    </row>
    <row r="115" spans="2:8" ht="15" customHeight="1">
      <c r="H115" s="5"/>
    </row>
    <row r="116" spans="2:8" ht="15" customHeight="1">
      <c r="B116" s="293" t="s">
        <v>210</v>
      </c>
      <c r="C116" s="295"/>
      <c r="D116" s="293" t="s">
        <v>211</v>
      </c>
      <c r="E116" s="294"/>
      <c r="F116" s="295"/>
      <c r="H116" s="5"/>
    </row>
    <row r="117" spans="2:8" ht="15" customHeight="1">
      <c r="B117" s="101">
        <v>4</v>
      </c>
      <c r="C117" s="324" t="s">
        <v>212</v>
      </c>
      <c r="D117" s="325"/>
      <c r="E117" s="87" t="s">
        <v>166</v>
      </c>
      <c r="F117" s="68" t="s">
        <v>108</v>
      </c>
      <c r="H117" s="5"/>
    </row>
    <row r="118" spans="2:8" ht="15" customHeight="1">
      <c r="B118" s="34" t="s">
        <v>165</v>
      </c>
      <c r="C118" s="290" t="str">
        <f>D64</f>
        <v>Encargos Previdenciários e FGTS</v>
      </c>
      <c r="D118" s="292"/>
      <c r="E118" s="90">
        <f>E74</f>
        <v>0.36099999999999999</v>
      </c>
      <c r="F118" s="38">
        <f>F74</f>
        <v>473.56</v>
      </c>
      <c r="H118" s="5"/>
    </row>
    <row r="119" spans="2:8" ht="15" customHeight="1">
      <c r="B119" s="34" t="s">
        <v>179</v>
      </c>
      <c r="C119" s="326" t="str">
        <f>D78</f>
        <v>13° Salário e Adicional de Férias</v>
      </c>
      <c r="D119" s="327"/>
      <c r="E119" s="90">
        <f>E84</f>
        <v>0.15121999999999999</v>
      </c>
      <c r="F119" s="38">
        <f>F84</f>
        <v>198.37</v>
      </c>
      <c r="H119" s="5"/>
    </row>
    <row r="120" spans="2:8" ht="15" customHeight="1">
      <c r="B120" s="34" t="s">
        <v>187</v>
      </c>
      <c r="C120" s="290" t="str">
        <f>D86</f>
        <v>Afastamento Maternidade</v>
      </c>
      <c r="D120" s="292"/>
      <c r="E120" s="90">
        <f>E90</f>
        <v>3.9100000000000003E-3</v>
      </c>
      <c r="F120" s="38">
        <f>F90</f>
        <v>5.12</v>
      </c>
      <c r="H120" s="5"/>
    </row>
    <row r="121" spans="2:8" ht="15" customHeight="1">
      <c r="B121" s="34" t="s">
        <v>191</v>
      </c>
      <c r="C121" s="290" t="str">
        <f>D92</f>
        <v>Provisão para Rescisão</v>
      </c>
      <c r="D121" s="292"/>
      <c r="E121" s="90">
        <f>E100</f>
        <v>7.0959999999999995E-2</v>
      </c>
      <c r="F121" s="38">
        <f>F100</f>
        <v>93.09</v>
      </c>
      <c r="H121" s="5"/>
    </row>
    <row r="122" spans="2:8" ht="15" customHeight="1">
      <c r="B122" s="34" t="s">
        <v>202</v>
      </c>
      <c r="C122" s="290" t="str">
        <f>D104</f>
        <v>Custo de Reposição do Profissional Ausente</v>
      </c>
      <c r="D122" s="292"/>
      <c r="E122" s="90">
        <f>E114</f>
        <v>0.17873</v>
      </c>
      <c r="F122" s="38">
        <f>F114</f>
        <v>234.46</v>
      </c>
      <c r="H122" s="5"/>
    </row>
    <row r="123" spans="2:8" ht="15" customHeight="1">
      <c r="B123" s="102" t="s">
        <v>213</v>
      </c>
      <c r="C123" s="322" t="s">
        <v>126</v>
      </c>
      <c r="D123" s="323"/>
      <c r="E123" s="90">
        <v>0</v>
      </c>
      <c r="F123" s="38">
        <v>0</v>
      </c>
      <c r="H123" s="5"/>
    </row>
    <row r="124" spans="2:8" ht="15" customHeight="1">
      <c r="B124" s="293" t="s">
        <v>57</v>
      </c>
      <c r="C124" s="294"/>
      <c r="D124" s="295"/>
      <c r="E124" s="89">
        <f>SUM(E118:E123)</f>
        <v>0.76581999999999995</v>
      </c>
      <c r="F124" s="69">
        <f>SUM(F118:F123)</f>
        <v>1004.6</v>
      </c>
      <c r="H124" s="5"/>
    </row>
    <row r="125" spans="2:8" ht="15" customHeight="1">
      <c r="H125" s="5"/>
    </row>
    <row r="126" spans="2:8" ht="15" customHeight="1">
      <c r="B126" s="293" t="s">
        <v>214</v>
      </c>
      <c r="C126" s="295"/>
      <c r="D126" s="293" t="s">
        <v>215</v>
      </c>
      <c r="E126" s="294"/>
      <c r="F126" s="295"/>
      <c r="H126" s="5"/>
    </row>
    <row r="127" spans="2:8" ht="15" customHeight="1">
      <c r="B127" s="101">
        <v>5</v>
      </c>
      <c r="C127" s="293" t="s">
        <v>216</v>
      </c>
      <c r="D127" s="295"/>
      <c r="E127" s="87" t="s">
        <v>166</v>
      </c>
      <c r="F127" s="68" t="s">
        <v>108</v>
      </c>
      <c r="H127" s="5"/>
    </row>
    <row r="128" spans="2:8" ht="15" customHeight="1">
      <c r="B128" s="34" t="s">
        <v>78</v>
      </c>
      <c r="C128" s="315" t="s">
        <v>217</v>
      </c>
      <c r="D128" s="316"/>
      <c r="E128" s="84">
        <v>2E-3</v>
      </c>
      <c r="F128" s="40">
        <f>E128*F148</f>
        <v>5</v>
      </c>
      <c r="H128" s="5"/>
    </row>
    <row r="129" spans="2:10" ht="15" customHeight="1">
      <c r="B129" s="34" t="s">
        <v>83</v>
      </c>
      <c r="C129" s="104" t="s">
        <v>218</v>
      </c>
      <c r="D129" s="104"/>
      <c r="E129" s="84">
        <v>2E-3</v>
      </c>
      <c r="F129" s="40">
        <f>E129*(F148+F128)</f>
        <v>5.01</v>
      </c>
      <c r="H129" s="5"/>
      <c r="J129" s="5" t="e">
        <f>'RESUMO DA PROPOSTA'!#REF!</f>
        <v>#REF!</v>
      </c>
    </row>
    <row r="130" spans="2:10" ht="15" customHeight="1">
      <c r="B130" s="303" t="s">
        <v>219</v>
      </c>
      <c r="C130" s="304"/>
      <c r="D130" s="305"/>
      <c r="E130" s="79">
        <f>SUM(E128:E129)</f>
        <v>4.0000000000000001E-3</v>
      </c>
      <c r="F130" s="69">
        <f>SUM(F128:F129)</f>
        <v>10.01</v>
      </c>
      <c r="H130" s="5"/>
    </row>
    <row r="131" spans="2:10" ht="15" customHeight="1">
      <c r="B131" s="317" t="s">
        <v>86</v>
      </c>
      <c r="C131" s="290" t="s">
        <v>220</v>
      </c>
      <c r="D131" s="291"/>
      <c r="E131" s="291"/>
      <c r="F131" s="292"/>
      <c r="H131" s="5"/>
    </row>
    <row r="132" spans="2:10" ht="15" customHeight="1">
      <c r="B132" s="318"/>
      <c r="C132" s="320" t="s">
        <v>221</v>
      </c>
      <c r="D132" s="42" t="s">
        <v>222</v>
      </c>
      <c r="E132" s="80">
        <v>7.5999999999999998E-2</v>
      </c>
      <c r="F132" s="41">
        <f>(($F$148+$F$128+$F$129)/(1-$E$136))*E132</f>
        <v>222.25</v>
      </c>
      <c r="H132" s="5"/>
    </row>
    <row r="133" spans="2:10" ht="15" customHeight="1">
      <c r="B133" s="318"/>
      <c r="C133" s="321"/>
      <c r="D133" s="42" t="s">
        <v>223</v>
      </c>
      <c r="E133" s="80">
        <v>1.6500000000000001E-2</v>
      </c>
      <c r="F133" s="41">
        <f t="shared" ref="F133:F135" si="8">(($F$148+$F$128+$F$129)/(1-$E$136))*E133</f>
        <v>48.25</v>
      </c>
      <c r="H133" s="5"/>
    </row>
    <row r="134" spans="2:10" ht="15" customHeight="1">
      <c r="B134" s="318"/>
      <c r="C134" s="43" t="s">
        <v>224</v>
      </c>
      <c r="D134" s="42" t="s">
        <v>225</v>
      </c>
      <c r="E134" s="80">
        <v>0.05</v>
      </c>
      <c r="F134" s="41">
        <f t="shared" si="8"/>
        <v>146.22</v>
      </c>
      <c r="H134" s="5"/>
    </row>
    <row r="135" spans="2:10" ht="15" customHeight="1">
      <c r="B135" s="319"/>
      <c r="C135" s="43" t="s">
        <v>226</v>
      </c>
      <c r="D135" s="72"/>
      <c r="E135" s="80">
        <v>0</v>
      </c>
      <c r="F135" s="41">
        <f t="shared" si="8"/>
        <v>0</v>
      </c>
      <c r="H135" s="5"/>
    </row>
    <row r="136" spans="2:10" ht="15" customHeight="1">
      <c r="B136" s="303" t="s">
        <v>227</v>
      </c>
      <c r="C136" s="304"/>
      <c r="D136" s="305"/>
      <c r="E136" s="79">
        <f>SUM(E132:E135)</f>
        <v>0.14249999999999999</v>
      </c>
      <c r="F136" s="69">
        <f>SUM(F132:F135)</f>
        <v>416.72</v>
      </c>
      <c r="H136" s="5"/>
    </row>
    <row r="137" spans="2:10" ht="15" customHeight="1">
      <c r="B137" s="293" t="s">
        <v>57</v>
      </c>
      <c r="C137" s="294"/>
      <c r="D137" s="295"/>
      <c r="E137" s="79">
        <f>E130+E136</f>
        <v>0.14649999999999999</v>
      </c>
      <c r="F137" s="71">
        <f>SUM(F136,F130)</f>
        <v>426.73</v>
      </c>
      <c r="H137" s="5"/>
    </row>
    <row r="138" spans="2:10" ht="15" customHeight="1">
      <c r="B138" s="39" t="s">
        <v>145</v>
      </c>
      <c r="C138" s="306" t="s">
        <v>228</v>
      </c>
      <c r="D138" s="307"/>
      <c r="E138" s="307"/>
      <c r="F138" s="308"/>
      <c r="H138" s="5"/>
    </row>
    <row r="139" spans="2:10" ht="15" customHeight="1">
      <c r="B139" s="39" t="s">
        <v>148</v>
      </c>
      <c r="C139" s="306" t="s">
        <v>229</v>
      </c>
      <c r="D139" s="307"/>
      <c r="E139" s="307"/>
      <c r="F139" s="308"/>
      <c r="H139" s="5"/>
    </row>
    <row r="140" spans="2:10" ht="25.5" customHeight="1">
      <c r="B140" s="39" t="s">
        <v>230</v>
      </c>
      <c r="C140" s="309" t="s">
        <v>231</v>
      </c>
      <c r="D140" s="310"/>
      <c r="E140" s="310"/>
      <c r="F140" s="311"/>
      <c r="H140" s="5"/>
    </row>
    <row r="141" spans="2:10" ht="15" customHeight="1">
      <c r="H141" s="5"/>
    </row>
    <row r="142" spans="2:10" ht="15" customHeight="1">
      <c r="B142" s="293" t="s">
        <v>232</v>
      </c>
      <c r="C142" s="294"/>
      <c r="D142" s="294"/>
      <c r="E142" s="294"/>
      <c r="F142" s="295"/>
      <c r="H142" s="5"/>
    </row>
    <row r="143" spans="2:10" ht="15" customHeight="1">
      <c r="B143" s="300" t="s">
        <v>233</v>
      </c>
      <c r="C143" s="301"/>
      <c r="D143" s="301"/>
      <c r="E143" s="302"/>
      <c r="F143" s="65" t="s">
        <v>234</v>
      </c>
      <c r="H143" s="5"/>
    </row>
    <row r="144" spans="2:10" ht="15" customHeight="1">
      <c r="B144" s="34" t="s">
        <v>78</v>
      </c>
      <c r="C144" s="290" t="s">
        <v>235</v>
      </c>
      <c r="D144" s="291"/>
      <c r="E144" s="292"/>
      <c r="F144" s="38">
        <f>F37</f>
        <v>1311.8</v>
      </c>
      <c r="H144" s="5"/>
    </row>
    <row r="145" spans="2:8" ht="15" customHeight="1">
      <c r="B145" s="34" t="s">
        <v>83</v>
      </c>
      <c r="C145" s="290" t="s">
        <v>236</v>
      </c>
      <c r="D145" s="291"/>
      <c r="E145" s="292"/>
      <c r="F145" s="38">
        <f>F47</f>
        <v>0</v>
      </c>
      <c r="H145" s="5"/>
    </row>
    <row r="146" spans="2:8" ht="15" customHeight="1">
      <c r="B146" s="34" t="s">
        <v>86</v>
      </c>
      <c r="C146" s="290" t="s">
        <v>237</v>
      </c>
      <c r="D146" s="291"/>
      <c r="E146" s="292"/>
      <c r="F146" s="38">
        <f>F60</f>
        <v>181.26</v>
      </c>
      <c r="H146" s="5"/>
    </row>
    <row r="147" spans="2:8" ht="15" customHeight="1">
      <c r="B147" s="34" t="s">
        <v>88</v>
      </c>
      <c r="C147" s="290" t="s">
        <v>212</v>
      </c>
      <c r="D147" s="291"/>
      <c r="E147" s="292"/>
      <c r="F147" s="38">
        <f>F124</f>
        <v>1004.6</v>
      </c>
      <c r="H147" s="5"/>
    </row>
    <row r="148" spans="2:8" ht="15" customHeight="1">
      <c r="B148" s="293" t="s">
        <v>238</v>
      </c>
      <c r="C148" s="294"/>
      <c r="D148" s="294"/>
      <c r="E148" s="295"/>
      <c r="F148" s="73">
        <f>SUM(F144:F147)</f>
        <v>2497.66</v>
      </c>
      <c r="H148" s="5"/>
    </row>
    <row r="149" spans="2:8" ht="15" customHeight="1">
      <c r="B149" s="34" t="s">
        <v>113</v>
      </c>
      <c r="C149" s="290" t="s">
        <v>239</v>
      </c>
      <c r="D149" s="291"/>
      <c r="E149" s="292"/>
      <c r="F149" s="38">
        <f>F137</f>
        <v>426.73</v>
      </c>
      <c r="H149" s="5"/>
    </row>
    <row r="150" spans="2:8" ht="15" customHeight="1">
      <c r="B150" s="293" t="s">
        <v>240</v>
      </c>
      <c r="C150" s="294"/>
      <c r="D150" s="294"/>
      <c r="E150" s="295"/>
      <c r="F150" s="73">
        <f>SUM(F148:F149)</f>
        <v>2924.39</v>
      </c>
      <c r="H150" s="5"/>
    </row>
    <row r="151" spans="2:8" ht="15" customHeight="1">
      <c r="B151" s="472" t="s">
        <v>264</v>
      </c>
      <c r="C151" s="472"/>
      <c r="D151" s="472"/>
      <c r="E151" s="472"/>
      <c r="F151" s="110">
        <f>F150*E16</f>
        <v>29243.9</v>
      </c>
      <c r="H151" s="5"/>
    </row>
    <row r="152" spans="2:8" ht="15" customHeight="1">
      <c r="H152" s="5"/>
    </row>
    <row r="153" spans="2:8" ht="26.25" customHeight="1">
      <c r="B153" s="470" t="s">
        <v>151</v>
      </c>
      <c r="C153" s="470"/>
      <c r="D153" s="111" t="s">
        <v>152</v>
      </c>
      <c r="E153" s="470" t="s">
        <v>251</v>
      </c>
      <c r="F153" s="470"/>
      <c r="G153" s="112"/>
      <c r="H153" s="5"/>
    </row>
    <row r="154" spans="2:8" ht="31.5" customHeight="1">
      <c r="B154" s="470" t="s">
        <v>253</v>
      </c>
      <c r="C154" s="470"/>
      <c r="D154" s="113">
        <v>60</v>
      </c>
      <c r="E154" s="471">
        <f>F151*D154</f>
        <v>1754634</v>
      </c>
      <c r="F154" s="471"/>
      <c r="H154" s="5"/>
    </row>
    <row r="155" spans="2:8" ht="35.25" customHeight="1">
      <c r="B155" s="470" t="s">
        <v>263</v>
      </c>
      <c r="C155" s="470"/>
      <c r="D155" s="113">
        <v>12</v>
      </c>
      <c r="E155" s="471">
        <f>F151*D155</f>
        <v>350926.8</v>
      </c>
      <c r="F155" s="471"/>
      <c r="H155" s="5"/>
    </row>
  </sheetData>
  <mergeCells count="150">
    <mergeCell ref="B155:C155"/>
    <mergeCell ref="E155:F155"/>
    <mergeCell ref="C149:E149"/>
    <mergeCell ref="B150:E150"/>
    <mergeCell ref="B151:E151"/>
    <mergeCell ref="B153:C153"/>
    <mergeCell ref="E153:F153"/>
    <mergeCell ref="B154:C154"/>
    <mergeCell ref="E154:F154"/>
    <mergeCell ref="B143:E143"/>
    <mergeCell ref="C144:E144"/>
    <mergeCell ref="C145:E145"/>
    <mergeCell ref="C146:E146"/>
    <mergeCell ref="C147:E147"/>
    <mergeCell ref="B148:E148"/>
    <mergeCell ref="B136:D136"/>
    <mergeCell ref="B137:D137"/>
    <mergeCell ref="C138:F138"/>
    <mergeCell ref="C139:F139"/>
    <mergeCell ref="C140:F140"/>
    <mergeCell ref="B142:F142"/>
    <mergeCell ref="C127:D127"/>
    <mergeCell ref="C128:D128"/>
    <mergeCell ref="B130:D130"/>
    <mergeCell ref="B131:B135"/>
    <mergeCell ref="C131:F131"/>
    <mergeCell ref="C132:C133"/>
    <mergeCell ref="C121:D121"/>
    <mergeCell ref="C122:D122"/>
    <mergeCell ref="C123:D123"/>
    <mergeCell ref="B124:D124"/>
    <mergeCell ref="B126:C126"/>
    <mergeCell ref="D126:F126"/>
    <mergeCell ref="B116:C116"/>
    <mergeCell ref="D116:F116"/>
    <mergeCell ref="C117:D117"/>
    <mergeCell ref="C118:D118"/>
    <mergeCell ref="C119:D119"/>
    <mergeCell ref="C120:D120"/>
    <mergeCell ref="C109:D109"/>
    <mergeCell ref="C110:D110"/>
    <mergeCell ref="C111:D111"/>
    <mergeCell ref="B112:D112"/>
    <mergeCell ref="C113:D113"/>
    <mergeCell ref="B114:D114"/>
    <mergeCell ref="B104:C104"/>
    <mergeCell ref="D104:F104"/>
    <mergeCell ref="C105:D105"/>
    <mergeCell ref="C106:D106"/>
    <mergeCell ref="C107:D107"/>
    <mergeCell ref="C108:D108"/>
    <mergeCell ref="C97:D97"/>
    <mergeCell ref="C98:D98"/>
    <mergeCell ref="C99:D99"/>
    <mergeCell ref="B100:D100"/>
    <mergeCell ref="C101:F101"/>
    <mergeCell ref="C102:F102"/>
    <mergeCell ref="B92:C92"/>
    <mergeCell ref="D92:F92"/>
    <mergeCell ref="C93:D93"/>
    <mergeCell ref="C94:D94"/>
    <mergeCell ref="C95:D95"/>
    <mergeCell ref="C96:D96"/>
    <mergeCell ref="B86:C86"/>
    <mergeCell ref="D86:F86"/>
    <mergeCell ref="C87:D87"/>
    <mergeCell ref="C88:D88"/>
    <mergeCell ref="C89:D89"/>
    <mergeCell ref="B90:D90"/>
    <mergeCell ref="C79:D79"/>
    <mergeCell ref="C80:D80"/>
    <mergeCell ref="C81:D81"/>
    <mergeCell ref="B82:D82"/>
    <mergeCell ref="C83:D83"/>
    <mergeCell ref="B84:D84"/>
    <mergeCell ref="C72:D72"/>
    <mergeCell ref="C73:D73"/>
    <mergeCell ref="B74:D74"/>
    <mergeCell ref="C75:F75"/>
    <mergeCell ref="C76:F76"/>
    <mergeCell ref="B78:C78"/>
    <mergeCell ref="D78:F78"/>
    <mergeCell ref="C66:D66"/>
    <mergeCell ref="C67:D67"/>
    <mergeCell ref="C68:D68"/>
    <mergeCell ref="C69:D69"/>
    <mergeCell ref="C70:D70"/>
    <mergeCell ref="C71:D71"/>
    <mergeCell ref="C61:F61"/>
    <mergeCell ref="B63:C63"/>
    <mergeCell ref="D63:F63"/>
    <mergeCell ref="B64:C64"/>
    <mergeCell ref="D64:F64"/>
    <mergeCell ref="C65:D65"/>
    <mergeCell ref="C55:E55"/>
    <mergeCell ref="C56:E56"/>
    <mergeCell ref="C57:E57"/>
    <mergeCell ref="C58:E58"/>
    <mergeCell ref="C59:E59"/>
    <mergeCell ref="B60:E60"/>
    <mergeCell ref="B47:E47"/>
    <mergeCell ref="C48:F48"/>
    <mergeCell ref="B49:B52"/>
    <mergeCell ref="C49:F52"/>
    <mergeCell ref="B54:C54"/>
    <mergeCell ref="D54:F54"/>
    <mergeCell ref="C41:E41"/>
    <mergeCell ref="C42:E42"/>
    <mergeCell ref="C43:E43"/>
    <mergeCell ref="C44:E44"/>
    <mergeCell ref="C45:E45"/>
    <mergeCell ref="C46:E46"/>
    <mergeCell ref="C28:E28"/>
    <mergeCell ref="C36:D36"/>
    <mergeCell ref="B37:D37"/>
    <mergeCell ref="B39:C39"/>
    <mergeCell ref="D39:F39"/>
    <mergeCell ref="C40:E40"/>
    <mergeCell ref="C22:E22"/>
    <mergeCell ref="C23:E23"/>
    <mergeCell ref="C24:E24"/>
    <mergeCell ref="C25:E25"/>
    <mergeCell ref="C26:F26"/>
    <mergeCell ref="B27:C27"/>
    <mergeCell ref="D27:F27"/>
    <mergeCell ref="B16:C16"/>
    <mergeCell ref="E16:F16"/>
    <mergeCell ref="B18:F18"/>
    <mergeCell ref="B19:F19"/>
    <mergeCell ref="B20:F20"/>
    <mergeCell ref="B21:F21"/>
    <mergeCell ref="B14:F14"/>
    <mergeCell ref="B15:C15"/>
    <mergeCell ref="E15:F15"/>
    <mergeCell ref="B8:C8"/>
    <mergeCell ref="E8:F8"/>
    <mergeCell ref="B9:F9"/>
    <mergeCell ref="C10:D10"/>
    <mergeCell ref="E10:F10"/>
    <mergeCell ref="C11:D11"/>
    <mergeCell ref="E11:F11"/>
    <mergeCell ref="E2:F2"/>
    <mergeCell ref="B3:F3"/>
    <mergeCell ref="B4:F4"/>
    <mergeCell ref="E5:F5"/>
    <mergeCell ref="E6:F6"/>
    <mergeCell ref="B7:F7"/>
    <mergeCell ref="E12:F12"/>
    <mergeCell ref="C13:D13"/>
    <mergeCell ref="E13:F13"/>
  </mergeCells>
  <pageMargins left="0.511811024" right="0.511811024" top="0.78740157499999996" bottom="0.78740157499999996" header="0.31496062000000002" footer="0.31496062000000002"/>
  <pageSetup paperSize="9" scale="52" orientation="portrait" r:id="rId1"/>
  <rowBreaks count="1" manualBreakCount="1">
    <brk id="90" max="16383" man="1"/>
  </rowBreaks>
  <colBreaks count="1" manualBreakCount="1">
    <brk id="7" max="1048575" man="1"/>
  </colBreaks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F00-000000000000}">
          <x14:formula1>
            <xm:f>'#listas#'!$E$1:$E$22</xm:f>
          </x14:formula1>
          <xm:sqref>C2</xm:sqref>
        </x14:dataValidation>
      </x14:dataValidations>
    </ext>
  </extLst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FFFF00"/>
  </sheetPr>
  <dimension ref="B1:H155"/>
  <sheetViews>
    <sheetView showGridLines="0" view="pageBreakPreview" topLeftCell="A61" zoomScale="115" zoomScaleNormal="115" zoomScaleSheetLayoutView="115" workbookViewId="0">
      <selection activeCell="C49" sqref="C49:F52"/>
    </sheetView>
  </sheetViews>
  <sheetFormatPr defaultColWidth="9.140625" defaultRowHeight="15" customHeight="1"/>
  <cols>
    <col min="1" max="1" width="4.42578125" style="5" customWidth="1"/>
    <col min="2" max="2" width="12.85546875" style="44" customWidth="1"/>
    <col min="3" max="3" width="43.42578125" style="44" customWidth="1"/>
    <col min="4" max="4" width="18.85546875" style="44" bestFit="1" customWidth="1"/>
    <col min="5" max="5" width="10.140625" style="85" bestFit="1" customWidth="1"/>
    <col min="6" max="6" width="11.7109375" style="45" customWidth="1"/>
    <col min="7" max="7" width="3.28515625" style="5" customWidth="1"/>
    <col min="8" max="8" width="12.140625" style="52" customWidth="1"/>
    <col min="9" max="16384" width="9.140625" style="5"/>
  </cols>
  <sheetData>
    <row r="1" spans="2:8" ht="15" customHeight="1">
      <c r="H1" s="47"/>
    </row>
    <row r="2" spans="2:8" s="49" customFormat="1" ht="15" customHeight="1">
      <c r="B2" s="8" t="s">
        <v>55</v>
      </c>
      <c r="C2" s="50" t="s">
        <v>21</v>
      </c>
      <c r="D2" s="8" t="s">
        <v>59</v>
      </c>
      <c r="E2" s="462"/>
      <c r="F2" s="462"/>
      <c r="H2" s="51"/>
    </row>
    <row r="3" spans="2:8" ht="21">
      <c r="B3" s="466"/>
      <c r="C3" s="466"/>
      <c r="D3" s="466"/>
      <c r="E3" s="466"/>
      <c r="F3" s="466"/>
    </row>
    <row r="4" spans="2:8" ht="15" customHeight="1">
      <c r="B4" s="362" t="s">
        <v>60</v>
      </c>
      <c r="C4" s="362"/>
      <c r="D4" s="362"/>
      <c r="E4" s="362"/>
      <c r="F4" s="362"/>
    </row>
    <row r="5" spans="2:8" ht="15" customHeight="1">
      <c r="B5" s="34" t="s">
        <v>62</v>
      </c>
      <c r="C5" s="30"/>
      <c r="D5" s="103" t="s">
        <v>63</v>
      </c>
      <c r="E5" s="468"/>
      <c r="F5" s="468"/>
    </row>
    <row r="6" spans="2:8" ht="15" customHeight="1">
      <c r="B6" s="34" t="s">
        <v>65</v>
      </c>
      <c r="C6" s="31"/>
      <c r="D6" s="34" t="s">
        <v>66</v>
      </c>
      <c r="E6" s="468"/>
      <c r="F6" s="468"/>
    </row>
    <row r="7" spans="2:8" ht="15" customHeight="1">
      <c r="B7" s="362" t="s">
        <v>67</v>
      </c>
      <c r="C7" s="362"/>
      <c r="D7" s="362"/>
      <c r="E7" s="362"/>
      <c r="F7" s="362"/>
    </row>
    <row r="8" spans="2:8" ht="15" customHeight="1">
      <c r="B8" s="459" t="s">
        <v>69</v>
      </c>
      <c r="C8" s="460"/>
      <c r="D8" s="34" t="s">
        <v>70</v>
      </c>
      <c r="E8" s="354"/>
      <c r="F8" s="355"/>
    </row>
    <row r="9" spans="2:8" ht="15" customHeight="1">
      <c r="B9" s="362" t="s">
        <v>75</v>
      </c>
      <c r="C9" s="362"/>
      <c r="D9" s="362"/>
      <c r="E9" s="362"/>
      <c r="F9" s="362"/>
    </row>
    <row r="10" spans="2:8" ht="15" customHeight="1">
      <c r="B10" s="34" t="s">
        <v>78</v>
      </c>
      <c r="C10" s="290" t="s">
        <v>79</v>
      </c>
      <c r="D10" s="291"/>
      <c r="E10" s="461"/>
      <c r="F10" s="461"/>
    </row>
    <row r="11" spans="2:8" ht="15" customHeight="1">
      <c r="B11" s="34" t="s">
        <v>83</v>
      </c>
      <c r="C11" s="290" t="s">
        <v>84</v>
      </c>
      <c r="D11" s="291"/>
      <c r="E11" s="300" t="s">
        <v>85</v>
      </c>
      <c r="F11" s="302"/>
    </row>
    <row r="12" spans="2:8" ht="15" customHeight="1">
      <c r="B12" s="34" t="s">
        <v>86</v>
      </c>
      <c r="C12" s="53" t="s">
        <v>87</v>
      </c>
      <c r="D12" s="54"/>
      <c r="E12" s="558" t="str">
        <f>PINTOR!E12</f>
        <v>RN000112/2018 SINDLIMP</v>
      </c>
      <c r="F12" s="302"/>
    </row>
    <row r="13" spans="2:8" ht="15" customHeight="1">
      <c r="B13" s="34" t="s">
        <v>88</v>
      </c>
      <c r="C13" s="322" t="s">
        <v>89</v>
      </c>
      <c r="D13" s="328"/>
      <c r="E13" s="300">
        <v>12</v>
      </c>
      <c r="F13" s="302"/>
    </row>
    <row r="14" spans="2:8" ht="15" customHeight="1">
      <c r="B14" s="362" t="s">
        <v>90</v>
      </c>
      <c r="C14" s="362"/>
      <c r="D14" s="362"/>
      <c r="E14" s="362"/>
      <c r="F14" s="362"/>
    </row>
    <row r="15" spans="2:8" ht="15" customHeight="1">
      <c r="B15" s="451" t="s">
        <v>91</v>
      </c>
      <c r="C15" s="451"/>
      <c r="D15" s="32" t="s">
        <v>92</v>
      </c>
      <c r="E15" s="452" t="s">
        <v>243</v>
      </c>
      <c r="F15" s="453"/>
    </row>
    <row r="16" spans="2:8" ht="15" customHeight="1">
      <c r="B16" s="455" t="s">
        <v>274</v>
      </c>
      <c r="C16" s="455"/>
      <c r="D16" s="9" t="s">
        <v>95</v>
      </c>
      <c r="E16" s="456">
        <v>1</v>
      </c>
      <c r="F16" s="456"/>
      <c r="H16" s="5"/>
    </row>
    <row r="17" spans="2:8" ht="15" customHeight="1">
      <c r="H17" s="5"/>
    </row>
    <row r="18" spans="2:8" ht="12.75" customHeight="1">
      <c r="B18" s="450"/>
      <c r="C18" s="450"/>
      <c r="D18" s="450"/>
      <c r="E18" s="450"/>
      <c r="F18" s="450"/>
      <c r="H18" s="5"/>
    </row>
    <row r="19" spans="2:8" ht="15" customHeight="1">
      <c r="B19" s="362" t="s">
        <v>71</v>
      </c>
      <c r="C19" s="362"/>
      <c r="D19" s="362"/>
      <c r="E19" s="362"/>
      <c r="F19" s="362"/>
      <c r="H19" s="5"/>
    </row>
    <row r="20" spans="2:8" ht="15" customHeight="1">
      <c r="B20" s="362" t="s">
        <v>96</v>
      </c>
      <c r="C20" s="362"/>
      <c r="D20" s="362"/>
      <c r="E20" s="362"/>
      <c r="F20" s="362"/>
      <c r="H20" s="5"/>
    </row>
    <row r="21" spans="2:8" ht="15" customHeight="1">
      <c r="B21" s="437" t="s">
        <v>98</v>
      </c>
      <c r="C21" s="437"/>
      <c r="D21" s="437"/>
      <c r="E21" s="437"/>
      <c r="F21" s="437"/>
      <c r="H21" s="5"/>
    </row>
    <row r="22" spans="2:8" ht="15" customHeight="1">
      <c r="B22" s="34">
        <v>1</v>
      </c>
      <c r="C22" s="449" t="s">
        <v>99</v>
      </c>
      <c r="D22" s="449"/>
      <c r="E22" s="449"/>
      <c r="F22" s="56"/>
      <c r="H22" s="5"/>
    </row>
    <row r="23" spans="2:8" ht="15" customHeight="1">
      <c r="B23" s="34">
        <v>2</v>
      </c>
      <c r="C23" s="437" t="s">
        <v>100</v>
      </c>
      <c r="D23" s="437"/>
      <c r="E23" s="437"/>
      <c r="F23" s="57">
        <v>1492.31</v>
      </c>
      <c r="H23" s="5"/>
    </row>
    <row r="24" spans="2:8" ht="15" customHeight="1">
      <c r="B24" s="34">
        <v>3</v>
      </c>
      <c r="C24" s="437" t="s">
        <v>101</v>
      </c>
      <c r="D24" s="437"/>
      <c r="E24" s="437"/>
      <c r="F24" s="56"/>
      <c r="H24" s="5"/>
    </row>
    <row r="25" spans="2:8" ht="15" customHeight="1">
      <c r="B25" s="34">
        <v>4</v>
      </c>
      <c r="C25" s="437" t="s">
        <v>102</v>
      </c>
      <c r="D25" s="437"/>
      <c r="E25" s="437"/>
      <c r="F25" s="58">
        <f>PINTOR!F25</f>
        <v>43101</v>
      </c>
      <c r="H25" s="5"/>
    </row>
    <row r="26" spans="2:8" ht="15" customHeight="1">
      <c r="B26" s="37" t="s">
        <v>103</v>
      </c>
      <c r="C26" s="438" t="s">
        <v>104</v>
      </c>
      <c r="D26" s="438"/>
      <c r="E26" s="438"/>
      <c r="F26" s="438"/>
      <c r="H26" s="5"/>
    </row>
    <row r="27" spans="2:8" ht="15" customHeight="1">
      <c r="B27" s="362" t="s">
        <v>105</v>
      </c>
      <c r="C27" s="362"/>
      <c r="D27" s="362" t="s">
        <v>106</v>
      </c>
      <c r="E27" s="362"/>
      <c r="F27" s="362"/>
      <c r="H27" s="5"/>
    </row>
    <row r="28" spans="2:8" ht="15" customHeight="1">
      <c r="B28" s="101">
        <v>1</v>
      </c>
      <c r="C28" s="362" t="s">
        <v>107</v>
      </c>
      <c r="D28" s="362"/>
      <c r="E28" s="362"/>
      <c r="F28" s="68" t="s">
        <v>108</v>
      </c>
      <c r="H28" s="5"/>
    </row>
    <row r="29" spans="2:8" ht="15" customHeight="1">
      <c r="B29" s="34" t="s">
        <v>78</v>
      </c>
      <c r="C29" s="59" t="s">
        <v>109</v>
      </c>
      <c r="D29" s="60"/>
      <c r="E29" s="80"/>
      <c r="F29" s="61">
        <f>F23</f>
        <v>1492.31</v>
      </c>
      <c r="H29" s="5"/>
    </row>
    <row r="30" spans="2:8" ht="15" customHeight="1">
      <c r="B30" s="34" t="s">
        <v>83</v>
      </c>
      <c r="C30" s="59" t="s">
        <v>110</v>
      </c>
      <c r="D30" s="60"/>
      <c r="E30" s="80"/>
      <c r="F30" s="61">
        <f>$F$29*E30</f>
        <v>0</v>
      </c>
      <c r="H30" s="5"/>
    </row>
    <row r="31" spans="2:8" ht="15" customHeight="1">
      <c r="B31" s="34" t="s">
        <v>86</v>
      </c>
      <c r="C31" s="59" t="s">
        <v>111</v>
      </c>
      <c r="D31" s="60"/>
      <c r="E31" s="134">
        <v>0.2</v>
      </c>
      <c r="F31" s="61">
        <f t="shared" ref="F31:F36" si="0">$F$29*E31</f>
        <v>298.45999999999998</v>
      </c>
      <c r="H31" s="5"/>
    </row>
    <row r="32" spans="2:8" ht="15" customHeight="1">
      <c r="B32" s="34" t="s">
        <v>88</v>
      </c>
      <c r="C32" s="59" t="s">
        <v>112</v>
      </c>
      <c r="D32" s="60"/>
      <c r="E32" s="80"/>
      <c r="F32" s="61">
        <f t="shared" si="0"/>
        <v>0</v>
      </c>
      <c r="H32" s="5"/>
    </row>
    <row r="33" spans="2:8" ht="15" customHeight="1">
      <c r="B33" s="34" t="s">
        <v>113</v>
      </c>
      <c r="C33" s="59" t="s">
        <v>114</v>
      </c>
      <c r="D33" s="60"/>
      <c r="E33" s="80"/>
      <c r="F33" s="61">
        <f t="shared" si="0"/>
        <v>0</v>
      </c>
      <c r="H33" s="5"/>
    </row>
    <row r="34" spans="2:8" ht="15" customHeight="1">
      <c r="B34" s="34" t="s">
        <v>116</v>
      </c>
      <c r="C34" s="59" t="s">
        <v>117</v>
      </c>
      <c r="D34" s="60"/>
      <c r="E34" s="80"/>
      <c r="F34" s="61">
        <f t="shared" si="0"/>
        <v>0</v>
      </c>
      <c r="H34" s="5"/>
    </row>
    <row r="35" spans="2:8" ht="15" customHeight="1">
      <c r="B35" s="34" t="s">
        <v>122</v>
      </c>
      <c r="C35" s="59" t="s">
        <v>123</v>
      </c>
      <c r="D35" s="60"/>
      <c r="E35" s="80"/>
      <c r="F35" s="61">
        <f t="shared" si="0"/>
        <v>0</v>
      </c>
      <c r="H35" s="5"/>
    </row>
    <row r="36" spans="2:8" ht="15" customHeight="1">
      <c r="B36" s="102" t="s">
        <v>125</v>
      </c>
      <c r="C36" s="290" t="s">
        <v>126</v>
      </c>
      <c r="D36" s="292"/>
      <c r="E36" s="81"/>
      <c r="F36" s="61">
        <f t="shared" si="0"/>
        <v>0</v>
      </c>
      <c r="H36" s="5"/>
    </row>
    <row r="37" spans="2:8" ht="15" customHeight="1">
      <c r="B37" s="293" t="s">
        <v>128</v>
      </c>
      <c r="C37" s="294"/>
      <c r="D37" s="295"/>
      <c r="E37" s="86">
        <f>SUM(E30:E36)</f>
        <v>0.2</v>
      </c>
      <c r="F37" s="69">
        <f>SUM(F29:F36)</f>
        <v>1790.77</v>
      </c>
      <c r="H37" s="5"/>
    </row>
    <row r="38" spans="2:8" ht="15" customHeight="1">
      <c r="H38" s="5"/>
    </row>
    <row r="39" spans="2:8" ht="15" customHeight="1">
      <c r="B39" s="362" t="s">
        <v>130</v>
      </c>
      <c r="C39" s="362"/>
      <c r="D39" s="362" t="s">
        <v>131</v>
      </c>
      <c r="E39" s="362"/>
      <c r="F39" s="362"/>
      <c r="H39" s="5"/>
    </row>
    <row r="40" spans="2:8" ht="15" customHeight="1">
      <c r="B40" s="101">
        <v>2</v>
      </c>
      <c r="C40" s="362" t="s">
        <v>132</v>
      </c>
      <c r="D40" s="362"/>
      <c r="E40" s="362"/>
      <c r="F40" s="68" t="s">
        <v>108</v>
      </c>
      <c r="H40" s="5"/>
    </row>
    <row r="41" spans="2:8" ht="15" customHeight="1">
      <c r="B41" s="102" t="s">
        <v>78</v>
      </c>
      <c r="C41" s="290" t="s">
        <v>133</v>
      </c>
      <c r="D41" s="291"/>
      <c r="E41" s="292"/>
      <c r="F41" s="33">
        <f>(2*2*26)-(0.06*F29)</f>
        <v>14.46</v>
      </c>
      <c r="H41" s="5"/>
    </row>
    <row r="42" spans="2:8" ht="15" customHeight="1">
      <c r="B42" s="102" t="s">
        <v>83</v>
      </c>
      <c r="C42" s="393" t="s">
        <v>134</v>
      </c>
      <c r="D42" s="393"/>
      <c r="E42" s="393"/>
      <c r="F42" s="33">
        <f>PINTOR!F42</f>
        <v>116.18</v>
      </c>
      <c r="H42" s="5"/>
    </row>
    <row r="43" spans="2:8" ht="15" customHeight="1">
      <c r="B43" s="34" t="s">
        <v>86</v>
      </c>
      <c r="C43" s="382" t="s">
        <v>135</v>
      </c>
      <c r="D43" s="382"/>
      <c r="E43" s="382"/>
      <c r="F43" s="33">
        <f>PINTOR!F43</f>
        <v>90</v>
      </c>
      <c r="H43" s="5"/>
    </row>
    <row r="44" spans="2:8" ht="15" customHeight="1">
      <c r="B44" s="34" t="s">
        <v>88</v>
      </c>
      <c r="C44" s="382" t="s">
        <v>136</v>
      </c>
      <c r="D44" s="382"/>
      <c r="E44" s="382"/>
      <c r="F44" s="33">
        <f>PINTOR!F44</f>
        <v>10</v>
      </c>
      <c r="H44" s="5"/>
    </row>
    <row r="45" spans="2:8" ht="15" customHeight="1">
      <c r="B45" s="34" t="s">
        <v>113</v>
      </c>
      <c r="C45" s="382" t="s">
        <v>138</v>
      </c>
      <c r="D45" s="382"/>
      <c r="E45" s="382"/>
      <c r="F45" s="33">
        <f>PINTOR!F45</f>
        <v>9</v>
      </c>
      <c r="H45" s="5"/>
    </row>
    <row r="46" spans="2:8" ht="15" customHeight="1">
      <c r="B46" s="102" t="s">
        <v>116</v>
      </c>
      <c r="C46" s="382" t="s">
        <v>258</v>
      </c>
      <c r="D46" s="382"/>
      <c r="E46" s="382"/>
      <c r="F46" s="33">
        <f>PINTOR!F46</f>
        <v>0</v>
      </c>
      <c r="H46" s="5"/>
    </row>
    <row r="47" spans="2:8" ht="15" customHeight="1">
      <c r="B47" s="362" t="s">
        <v>143</v>
      </c>
      <c r="C47" s="362"/>
      <c r="D47" s="362"/>
      <c r="E47" s="362"/>
      <c r="F47" s="69">
        <f>SUM(F41:F46)</f>
        <v>239.64</v>
      </c>
      <c r="H47" s="5"/>
    </row>
    <row r="48" spans="2:8" ht="27.75" customHeight="1">
      <c r="B48" s="34" t="s">
        <v>145</v>
      </c>
      <c r="C48" s="309" t="s">
        <v>146</v>
      </c>
      <c r="D48" s="310"/>
      <c r="E48" s="310"/>
      <c r="F48" s="311"/>
      <c r="H48" s="5"/>
    </row>
    <row r="49" spans="2:8" ht="35.25" customHeight="1">
      <c r="B49" s="317" t="s">
        <v>148</v>
      </c>
      <c r="C49" s="373" t="s">
        <v>291</v>
      </c>
      <c r="D49" s="374"/>
      <c r="E49" s="374"/>
      <c r="F49" s="375"/>
      <c r="H49" s="5"/>
    </row>
    <row r="50" spans="2:8" ht="11.25" customHeight="1">
      <c r="B50" s="318"/>
      <c r="C50" s="376"/>
      <c r="D50" s="377"/>
      <c r="E50" s="377"/>
      <c r="F50" s="378"/>
      <c r="H50" s="5"/>
    </row>
    <row r="51" spans="2:8" ht="21.75" customHeight="1">
      <c r="B51" s="318"/>
      <c r="C51" s="376"/>
      <c r="D51" s="377"/>
      <c r="E51" s="377"/>
      <c r="F51" s="378"/>
      <c r="H51" s="5"/>
    </row>
    <row r="52" spans="2:8" ht="20.25" customHeight="1">
      <c r="B52" s="319"/>
      <c r="C52" s="379"/>
      <c r="D52" s="380"/>
      <c r="E52" s="380"/>
      <c r="F52" s="381"/>
      <c r="H52" s="5"/>
    </row>
    <row r="53" spans="2:8" ht="15" customHeight="1">
      <c r="H53" s="5"/>
    </row>
    <row r="54" spans="2:8" ht="15" customHeight="1">
      <c r="B54" s="293" t="s">
        <v>153</v>
      </c>
      <c r="C54" s="295"/>
      <c r="D54" s="293" t="s">
        <v>154</v>
      </c>
      <c r="E54" s="294"/>
      <c r="F54" s="295"/>
      <c r="H54" s="5"/>
    </row>
    <row r="55" spans="2:8" ht="15" customHeight="1">
      <c r="B55" s="101">
        <v>3</v>
      </c>
      <c r="C55" s="293" t="s">
        <v>155</v>
      </c>
      <c r="D55" s="294"/>
      <c r="E55" s="295"/>
      <c r="F55" s="68" t="s">
        <v>108</v>
      </c>
      <c r="H55" s="5"/>
    </row>
    <row r="56" spans="2:8" ht="15" customHeight="1">
      <c r="B56" s="34" t="s">
        <v>78</v>
      </c>
      <c r="C56" s="290" t="s">
        <v>156</v>
      </c>
      <c r="D56" s="291"/>
      <c r="E56" s="292"/>
      <c r="F56" s="116">
        <v>12</v>
      </c>
      <c r="H56" s="5"/>
    </row>
    <row r="57" spans="2:8" ht="15" customHeight="1">
      <c r="B57" s="34" t="s">
        <v>83</v>
      </c>
      <c r="C57" s="290" t="s">
        <v>157</v>
      </c>
      <c r="D57" s="291"/>
      <c r="E57" s="292"/>
      <c r="F57" s="116">
        <v>194.93</v>
      </c>
      <c r="H57" s="5"/>
    </row>
    <row r="58" spans="2:8" ht="15" customHeight="1">
      <c r="B58" s="34" t="s">
        <v>86</v>
      </c>
      <c r="C58" s="290" t="s">
        <v>158</v>
      </c>
      <c r="D58" s="291"/>
      <c r="E58" s="292"/>
      <c r="F58" s="35">
        <v>0</v>
      </c>
      <c r="H58" s="5"/>
    </row>
    <row r="59" spans="2:8" ht="15" customHeight="1">
      <c r="B59" s="102" t="s">
        <v>88</v>
      </c>
      <c r="C59" s="322" t="s">
        <v>259</v>
      </c>
      <c r="D59" s="328"/>
      <c r="E59" s="323"/>
      <c r="F59" s="36">
        <f>F58*-0.8</f>
        <v>0</v>
      </c>
      <c r="H59" s="5"/>
    </row>
    <row r="60" spans="2:8" ht="15" customHeight="1">
      <c r="B60" s="293" t="s">
        <v>159</v>
      </c>
      <c r="C60" s="294"/>
      <c r="D60" s="294"/>
      <c r="E60" s="295"/>
      <c r="F60" s="69">
        <f>SUM(F56:F59)</f>
        <v>206.93</v>
      </c>
      <c r="H60" s="5"/>
    </row>
    <row r="61" spans="2:8" ht="15" customHeight="1">
      <c r="B61" s="37" t="s">
        <v>103</v>
      </c>
      <c r="C61" s="306" t="s">
        <v>160</v>
      </c>
      <c r="D61" s="307"/>
      <c r="E61" s="307"/>
      <c r="F61" s="308"/>
      <c r="H61" s="5"/>
    </row>
    <row r="62" spans="2:8" ht="15" customHeight="1">
      <c r="H62" s="5"/>
    </row>
    <row r="63" spans="2:8" ht="15" customHeight="1">
      <c r="B63" s="293" t="s">
        <v>161</v>
      </c>
      <c r="C63" s="295"/>
      <c r="D63" s="293" t="s">
        <v>162</v>
      </c>
      <c r="E63" s="294"/>
      <c r="F63" s="295"/>
      <c r="H63" s="5"/>
    </row>
    <row r="64" spans="2:8" ht="15" customHeight="1">
      <c r="B64" s="293" t="s">
        <v>163</v>
      </c>
      <c r="C64" s="295"/>
      <c r="D64" s="293" t="s">
        <v>164</v>
      </c>
      <c r="E64" s="294"/>
      <c r="F64" s="295"/>
      <c r="H64" s="5"/>
    </row>
    <row r="65" spans="2:8" ht="15" customHeight="1">
      <c r="B65" s="101" t="s">
        <v>165</v>
      </c>
      <c r="C65" s="293" t="s">
        <v>164</v>
      </c>
      <c r="D65" s="295"/>
      <c r="E65" s="87" t="s">
        <v>166</v>
      </c>
      <c r="F65" s="68" t="s">
        <v>108</v>
      </c>
      <c r="H65" s="5"/>
    </row>
    <row r="66" spans="2:8" ht="15" customHeight="1">
      <c r="B66" s="34" t="s">
        <v>78</v>
      </c>
      <c r="C66" s="290" t="s">
        <v>167</v>
      </c>
      <c r="D66" s="292"/>
      <c r="E66" s="80">
        <v>0.2</v>
      </c>
      <c r="F66" s="38">
        <f>E66*$F$37</f>
        <v>358.15</v>
      </c>
      <c r="H66" s="5"/>
    </row>
    <row r="67" spans="2:8" ht="15" customHeight="1">
      <c r="B67" s="34" t="s">
        <v>83</v>
      </c>
      <c r="C67" s="290" t="s">
        <v>168</v>
      </c>
      <c r="D67" s="292"/>
      <c r="E67" s="80">
        <v>1.4999999999999999E-2</v>
      </c>
      <c r="F67" s="38">
        <f t="shared" ref="F67:F73" si="1">E67*$F$37</f>
        <v>26.86</v>
      </c>
      <c r="H67" s="5"/>
    </row>
    <row r="68" spans="2:8" ht="15" customHeight="1">
      <c r="B68" s="34" t="s">
        <v>86</v>
      </c>
      <c r="C68" s="290" t="s">
        <v>169</v>
      </c>
      <c r="D68" s="292"/>
      <c r="E68" s="80">
        <v>0.01</v>
      </c>
      <c r="F68" s="38">
        <f t="shared" si="1"/>
        <v>17.91</v>
      </c>
      <c r="H68" s="5"/>
    </row>
    <row r="69" spans="2:8" ht="15" customHeight="1">
      <c r="B69" s="34" t="s">
        <v>88</v>
      </c>
      <c r="C69" s="290" t="s">
        <v>170</v>
      </c>
      <c r="D69" s="292"/>
      <c r="E69" s="80">
        <v>2E-3</v>
      </c>
      <c r="F69" s="38">
        <f t="shared" si="1"/>
        <v>3.58</v>
      </c>
      <c r="H69" s="5"/>
    </row>
    <row r="70" spans="2:8" ht="15" customHeight="1">
      <c r="B70" s="34" t="s">
        <v>113</v>
      </c>
      <c r="C70" s="290" t="s">
        <v>171</v>
      </c>
      <c r="D70" s="292"/>
      <c r="E70" s="80">
        <v>2.5000000000000001E-2</v>
      </c>
      <c r="F70" s="38">
        <f t="shared" si="1"/>
        <v>44.77</v>
      </c>
      <c r="H70" s="5"/>
    </row>
    <row r="71" spans="2:8" ht="15" customHeight="1">
      <c r="B71" s="34" t="s">
        <v>116</v>
      </c>
      <c r="C71" s="290" t="s">
        <v>172</v>
      </c>
      <c r="D71" s="292"/>
      <c r="E71" s="80">
        <v>0.08</v>
      </c>
      <c r="F71" s="38">
        <f t="shared" si="1"/>
        <v>143.26</v>
      </c>
      <c r="H71" s="5"/>
    </row>
    <row r="72" spans="2:8" ht="15" customHeight="1">
      <c r="B72" s="34" t="s">
        <v>122</v>
      </c>
      <c r="C72" s="290" t="s">
        <v>261</v>
      </c>
      <c r="D72" s="292"/>
      <c r="E72" s="80">
        <v>2.3199999999999998E-2</v>
      </c>
      <c r="F72" s="38">
        <f t="shared" si="1"/>
        <v>41.55</v>
      </c>
      <c r="H72" s="5"/>
    </row>
    <row r="73" spans="2:8" ht="15" customHeight="1">
      <c r="B73" s="34" t="s">
        <v>125</v>
      </c>
      <c r="C73" s="290" t="s">
        <v>174</v>
      </c>
      <c r="D73" s="292"/>
      <c r="E73" s="80">
        <v>6.0000000000000001E-3</v>
      </c>
      <c r="F73" s="38">
        <f t="shared" si="1"/>
        <v>10.74</v>
      </c>
      <c r="H73" s="5"/>
    </row>
    <row r="74" spans="2:8" ht="15" customHeight="1">
      <c r="B74" s="293" t="s">
        <v>57</v>
      </c>
      <c r="C74" s="294"/>
      <c r="D74" s="295"/>
      <c r="E74" s="79">
        <f>SUM(E66:E73)</f>
        <v>0.36120000000000002</v>
      </c>
      <c r="F74" s="69">
        <f>SUM(F66:F73)</f>
        <v>646.82000000000005</v>
      </c>
      <c r="H74" s="5"/>
    </row>
    <row r="75" spans="2:8" ht="15" customHeight="1">
      <c r="B75" s="39" t="s">
        <v>145</v>
      </c>
      <c r="C75" s="309" t="s">
        <v>175</v>
      </c>
      <c r="D75" s="310"/>
      <c r="E75" s="310"/>
      <c r="F75" s="311"/>
      <c r="H75" s="5"/>
    </row>
    <row r="76" spans="2:8" ht="15" customHeight="1">
      <c r="B76" s="39" t="s">
        <v>148</v>
      </c>
      <c r="C76" s="331" t="s">
        <v>176</v>
      </c>
      <c r="D76" s="332"/>
      <c r="E76" s="332"/>
      <c r="F76" s="333"/>
      <c r="H76" s="5"/>
    </row>
    <row r="77" spans="2:8" ht="15" customHeight="1">
      <c r="H77" s="5"/>
    </row>
    <row r="78" spans="2:8" ht="15" customHeight="1">
      <c r="B78" s="293" t="s">
        <v>177</v>
      </c>
      <c r="C78" s="295"/>
      <c r="D78" s="293" t="s">
        <v>178</v>
      </c>
      <c r="E78" s="294"/>
      <c r="F78" s="295"/>
      <c r="H78" s="5"/>
    </row>
    <row r="79" spans="2:8" ht="15" customHeight="1">
      <c r="B79" s="101" t="s">
        <v>179</v>
      </c>
      <c r="C79" s="293" t="s">
        <v>180</v>
      </c>
      <c r="D79" s="295"/>
      <c r="E79" s="87" t="s">
        <v>166</v>
      </c>
      <c r="F79" s="68" t="s">
        <v>108</v>
      </c>
      <c r="H79" s="5"/>
    </row>
    <row r="80" spans="2:8" ht="15" customHeight="1">
      <c r="B80" s="34" t="s">
        <v>78</v>
      </c>
      <c r="C80" s="290" t="s">
        <v>181</v>
      </c>
      <c r="D80" s="292"/>
      <c r="E80" s="80">
        <v>8.3330000000000001E-2</v>
      </c>
      <c r="F80" s="38">
        <f t="shared" ref="F80:F81" si="2">E80*$F$37</f>
        <v>149.22</v>
      </c>
      <c r="H80" s="5"/>
    </row>
    <row r="81" spans="2:8" ht="15" customHeight="1">
      <c r="B81" s="64" t="s">
        <v>83</v>
      </c>
      <c r="C81" s="329" t="s">
        <v>182</v>
      </c>
      <c r="D81" s="330"/>
      <c r="E81" s="82">
        <v>2.7779999999999999E-2</v>
      </c>
      <c r="F81" s="38">
        <f t="shared" si="2"/>
        <v>49.75</v>
      </c>
      <c r="H81" s="5"/>
    </row>
    <row r="82" spans="2:8" ht="15" customHeight="1">
      <c r="B82" s="293" t="s">
        <v>183</v>
      </c>
      <c r="C82" s="294"/>
      <c r="D82" s="295"/>
      <c r="E82" s="83">
        <f>SUM(E80:E81)</f>
        <v>0.11111</v>
      </c>
      <c r="F82" s="70">
        <f>SUM(F80:F81)</f>
        <v>198.97</v>
      </c>
      <c r="H82" s="5"/>
    </row>
    <row r="83" spans="2:8" s="63" customFormat="1" ht="15" customHeight="1">
      <c r="B83" s="102" t="s">
        <v>86</v>
      </c>
      <c r="C83" s="322" t="s">
        <v>184</v>
      </c>
      <c r="D83" s="323"/>
      <c r="E83" s="88">
        <f>E74*E82</f>
        <v>4.0129999999999999E-2</v>
      </c>
      <c r="F83" s="94">
        <f>F82*E74</f>
        <v>71.87</v>
      </c>
    </row>
    <row r="84" spans="2:8" ht="15" customHeight="1">
      <c r="B84" s="293" t="s">
        <v>57</v>
      </c>
      <c r="C84" s="294"/>
      <c r="D84" s="295"/>
      <c r="E84" s="79">
        <f>SUM(E82:E83)</f>
        <v>0.15124000000000001</v>
      </c>
      <c r="F84" s="71">
        <f>SUM(F82:F83)</f>
        <v>270.83999999999997</v>
      </c>
      <c r="H84" s="5"/>
    </row>
    <row r="85" spans="2:8" ht="15" customHeight="1">
      <c r="H85" s="5"/>
    </row>
    <row r="86" spans="2:8" ht="15" customHeight="1">
      <c r="B86" s="293" t="s">
        <v>185</v>
      </c>
      <c r="C86" s="295"/>
      <c r="D86" s="293" t="s">
        <v>186</v>
      </c>
      <c r="E86" s="294"/>
      <c r="F86" s="295"/>
      <c r="H86" s="5"/>
    </row>
    <row r="87" spans="2:8" ht="15" customHeight="1">
      <c r="B87" s="101" t="s">
        <v>187</v>
      </c>
      <c r="C87" s="293" t="s">
        <v>186</v>
      </c>
      <c r="D87" s="295"/>
      <c r="E87" s="87" t="s">
        <v>166</v>
      </c>
      <c r="F87" s="68" t="s">
        <v>108</v>
      </c>
      <c r="H87" s="5"/>
    </row>
    <row r="88" spans="2:8" ht="15" customHeight="1">
      <c r="B88" s="34" t="s">
        <v>78</v>
      </c>
      <c r="C88" s="290" t="s">
        <v>186</v>
      </c>
      <c r="D88" s="292"/>
      <c r="E88" s="78">
        <v>2.8700000000000002E-3</v>
      </c>
      <c r="F88" s="38">
        <f t="shared" ref="F88" si="3">E88*$F$37</f>
        <v>5.14</v>
      </c>
      <c r="H88" s="5"/>
    </row>
    <row r="89" spans="2:8" ht="15" customHeight="1">
      <c r="B89" s="102" t="s">
        <v>83</v>
      </c>
      <c r="C89" s="322" t="s">
        <v>188</v>
      </c>
      <c r="D89" s="323"/>
      <c r="E89" s="88">
        <f>E74*E88</f>
        <v>1.0399999999999999E-3</v>
      </c>
      <c r="F89" s="94">
        <f>F88*E74</f>
        <v>1.86</v>
      </c>
      <c r="H89" s="5"/>
    </row>
    <row r="90" spans="2:8" ht="15" customHeight="1">
      <c r="B90" s="293" t="s">
        <v>57</v>
      </c>
      <c r="C90" s="294"/>
      <c r="D90" s="295"/>
      <c r="E90" s="89">
        <f>SUM(E88:E89)</f>
        <v>3.9100000000000003E-3</v>
      </c>
      <c r="F90" s="69">
        <f>SUM(F88:F89)</f>
        <v>7</v>
      </c>
      <c r="H90" s="5"/>
    </row>
    <row r="91" spans="2:8" ht="15" customHeight="1">
      <c r="H91" s="5"/>
    </row>
    <row r="92" spans="2:8" ht="15" customHeight="1">
      <c r="B92" s="293" t="s">
        <v>189</v>
      </c>
      <c r="C92" s="295"/>
      <c r="D92" s="293" t="s">
        <v>190</v>
      </c>
      <c r="E92" s="294"/>
      <c r="F92" s="295"/>
      <c r="H92" s="5"/>
    </row>
    <row r="93" spans="2:8" ht="15" customHeight="1">
      <c r="B93" s="101" t="s">
        <v>191</v>
      </c>
      <c r="C93" s="293" t="s">
        <v>190</v>
      </c>
      <c r="D93" s="295"/>
      <c r="E93" s="87" t="s">
        <v>166</v>
      </c>
      <c r="F93" s="68" t="s">
        <v>108</v>
      </c>
      <c r="H93" s="5"/>
    </row>
    <row r="94" spans="2:8" ht="15" customHeight="1">
      <c r="B94" s="34" t="s">
        <v>78</v>
      </c>
      <c r="C94" s="290" t="s">
        <v>192</v>
      </c>
      <c r="D94" s="292"/>
      <c r="E94" s="78">
        <v>4.1700000000000001E-3</v>
      </c>
      <c r="F94" s="38">
        <f t="shared" ref="F94" si="4">E94*$F$37</f>
        <v>7.47</v>
      </c>
      <c r="H94" s="5"/>
    </row>
    <row r="95" spans="2:8" ht="15" customHeight="1">
      <c r="B95" s="34" t="s">
        <v>83</v>
      </c>
      <c r="C95" s="326" t="s">
        <v>193</v>
      </c>
      <c r="D95" s="327"/>
      <c r="E95" s="78">
        <f>E94*E71</f>
        <v>3.3E-4</v>
      </c>
      <c r="F95" s="38">
        <f>F94*E71</f>
        <v>0.6</v>
      </c>
      <c r="H95" s="5"/>
    </row>
    <row r="96" spans="2:8" ht="15" customHeight="1">
      <c r="B96" s="34" t="s">
        <v>86</v>
      </c>
      <c r="C96" s="290" t="s">
        <v>194</v>
      </c>
      <c r="D96" s="292"/>
      <c r="E96" s="78">
        <v>3.2000000000000001E-2</v>
      </c>
      <c r="F96" s="38">
        <f t="shared" ref="F96:F97" si="5">E96*$F$37</f>
        <v>57.3</v>
      </c>
      <c r="H96" s="5"/>
    </row>
    <row r="97" spans="2:8" ht="15" customHeight="1">
      <c r="B97" s="34" t="s">
        <v>88</v>
      </c>
      <c r="C97" s="290" t="s">
        <v>195</v>
      </c>
      <c r="D97" s="292"/>
      <c r="E97" s="78">
        <v>1.9439999999999999E-2</v>
      </c>
      <c r="F97" s="38">
        <f t="shared" si="5"/>
        <v>34.81</v>
      </c>
      <c r="H97" s="5"/>
    </row>
    <row r="98" spans="2:8" ht="15" customHeight="1">
      <c r="B98" s="34" t="s">
        <v>113</v>
      </c>
      <c r="C98" s="326" t="s">
        <v>196</v>
      </c>
      <c r="D98" s="327"/>
      <c r="E98" s="78">
        <f>E97*E74</f>
        <v>7.0200000000000002E-3</v>
      </c>
      <c r="F98" s="94">
        <f>F97*E74</f>
        <v>12.57</v>
      </c>
      <c r="H98" s="5"/>
    </row>
    <row r="99" spans="2:8" ht="15" customHeight="1">
      <c r="B99" s="102" t="s">
        <v>88</v>
      </c>
      <c r="C99" s="290" t="s">
        <v>197</v>
      </c>
      <c r="D99" s="292"/>
      <c r="E99" s="78">
        <v>8.0000000000000002E-3</v>
      </c>
      <c r="F99" s="38">
        <f t="shared" ref="F99" si="6">E99*$F$37</f>
        <v>14.33</v>
      </c>
      <c r="H99" s="5"/>
    </row>
    <row r="100" spans="2:8" ht="15" customHeight="1">
      <c r="B100" s="293" t="s">
        <v>57</v>
      </c>
      <c r="C100" s="294"/>
      <c r="D100" s="295"/>
      <c r="E100" s="79">
        <f>SUM(E94:E99)</f>
        <v>7.0959999999999995E-2</v>
      </c>
      <c r="F100" s="69">
        <f>SUM(F94:F99)</f>
        <v>127.08</v>
      </c>
      <c r="H100" s="5"/>
    </row>
    <row r="101" spans="2:8" ht="27" customHeight="1">
      <c r="B101" s="32" t="s">
        <v>145</v>
      </c>
      <c r="C101" s="322" t="s">
        <v>198</v>
      </c>
      <c r="D101" s="328"/>
      <c r="E101" s="328"/>
      <c r="F101" s="323"/>
      <c r="H101" s="5"/>
    </row>
    <row r="102" spans="2:8" ht="24.75" customHeight="1">
      <c r="B102" s="32" t="s">
        <v>148</v>
      </c>
      <c r="C102" s="322" t="s">
        <v>199</v>
      </c>
      <c r="D102" s="328"/>
      <c r="E102" s="328"/>
      <c r="F102" s="323"/>
      <c r="H102" s="5"/>
    </row>
    <row r="103" spans="2:8" ht="15" customHeight="1">
      <c r="H103" s="5"/>
    </row>
    <row r="104" spans="2:8" ht="15" customHeight="1">
      <c r="B104" s="293" t="s">
        <v>200</v>
      </c>
      <c r="C104" s="295"/>
      <c r="D104" s="293" t="s">
        <v>201</v>
      </c>
      <c r="E104" s="294"/>
      <c r="F104" s="295"/>
      <c r="H104" s="5"/>
    </row>
    <row r="105" spans="2:8" ht="15" customHeight="1">
      <c r="B105" s="101" t="s">
        <v>202</v>
      </c>
      <c r="C105" s="324" t="s">
        <v>203</v>
      </c>
      <c r="D105" s="325"/>
      <c r="E105" s="87" t="s">
        <v>166</v>
      </c>
      <c r="F105" s="68" t="s">
        <v>108</v>
      </c>
      <c r="H105" s="5"/>
    </row>
    <row r="106" spans="2:8" ht="15" customHeight="1">
      <c r="B106" s="34" t="s">
        <v>78</v>
      </c>
      <c r="C106" s="290" t="s">
        <v>204</v>
      </c>
      <c r="D106" s="292"/>
      <c r="E106" s="80">
        <v>0.11111</v>
      </c>
      <c r="F106" s="38">
        <f t="shared" ref="F106:F111" si="7">E106*$F$37</f>
        <v>198.97</v>
      </c>
      <c r="H106" s="5"/>
    </row>
    <row r="107" spans="2:8" ht="15" customHeight="1">
      <c r="B107" s="34" t="s">
        <v>83</v>
      </c>
      <c r="C107" s="326" t="s">
        <v>205</v>
      </c>
      <c r="D107" s="327"/>
      <c r="E107" s="80">
        <v>1.389E-2</v>
      </c>
      <c r="F107" s="38">
        <f t="shared" si="7"/>
        <v>24.87</v>
      </c>
      <c r="H107" s="5"/>
    </row>
    <row r="108" spans="2:8" ht="15" customHeight="1">
      <c r="B108" s="34" t="s">
        <v>86</v>
      </c>
      <c r="C108" s="290" t="s">
        <v>206</v>
      </c>
      <c r="D108" s="292"/>
      <c r="E108" s="80">
        <v>2.1000000000000001E-4</v>
      </c>
      <c r="F108" s="38">
        <f t="shared" si="7"/>
        <v>0.38</v>
      </c>
      <c r="H108" s="5"/>
    </row>
    <row r="109" spans="2:8" ht="15" customHeight="1">
      <c r="B109" s="34" t="s">
        <v>88</v>
      </c>
      <c r="C109" s="290" t="s">
        <v>207</v>
      </c>
      <c r="D109" s="292"/>
      <c r="E109" s="80">
        <v>2.7799999999999999E-3</v>
      </c>
      <c r="F109" s="38">
        <f t="shared" si="7"/>
        <v>4.9800000000000004</v>
      </c>
      <c r="H109" s="5"/>
    </row>
    <row r="110" spans="2:8" ht="15" customHeight="1">
      <c r="B110" s="34" t="s">
        <v>113</v>
      </c>
      <c r="C110" s="290" t="s">
        <v>208</v>
      </c>
      <c r="D110" s="292"/>
      <c r="E110" s="80">
        <v>3.3300000000000001E-3</v>
      </c>
      <c r="F110" s="38">
        <f t="shared" si="7"/>
        <v>5.96</v>
      </c>
      <c r="H110" s="5"/>
    </row>
    <row r="111" spans="2:8" ht="15" customHeight="1">
      <c r="B111" s="102" t="s">
        <v>116</v>
      </c>
      <c r="C111" s="322" t="s">
        <v>126</v>
      </c>
      <c r="D111" s="323"/>
      <c r="E111" s="80">
        <v>0</v>
      </c>
      <c r="F111" s="38">
        <f t="shared" si="7"/>
        <v>0</v>
      </c>
      <c r="H111" s="5"/>
    </row>
    <row r="112" spans="2:8" ht="15" customHeight="1">
      <c r="B112" s="293" t="s">
        <v>183</v>
      </c>
      <c r="C112" s="294"/>
      <c r="D112" s="295"/>
      <c r="E112" s="79">
        <f>SUM(E106:E111)</f>
        <v>0.13131999999999999</v>
      </c>
      <c r="F112" s="73">
        <f>SUM(F106:F111)</f>
        <v>235.16</v>
      </c>
      <c r="H112" s="5"/>
    </row>
    <row r="113" spans="2:8" ht="15" customHeight="1">
      <c r="B113" s="102" t="s">
        <v>122</v>
      </c>
      <c r="C113" s="326" t="s">
        <v>209</v>
      </c>
      <c r="D113" s="327"/>
      <c r="E113" s="78">
        <f>E74*E112</f>
        <v>4.743E-2</v>
      </c>
      <c r="F113" s="76">
        <f>E74*F112</f>
        <v>84.94</v>
      </c>
      <c r="H113" s="5"/>
    </row>
    <row r="114" spans="2:8" ht="15" customHeight="1">
      <c r="B114" s="293" t="s">
        <v>57</v>
      </c>
      <c r="C114" s="294"/>
      <c r="D114" s="295"/>
      <c r="E114" s="79">
        <f>SUM(E112:E113)</f>
        <v>0.17874999999999999</v>
      </c>
      <c r="F114" s="69">
        <f>SUM(F112:F113)</f>
        <v>320.10000000000002</v>
      </c>
      <c r="H114" s="5"/>
    </row>
    <row r="115" spans="2:8" ht="15" customHeight="1">
      <c r="H115" s="5"/>
    </row>
    <row r="116" spans="2:8" ht="15" customHeight="1">
      <c r="B116" s="293" t="s">
        <v>210</v>
      </c>
      <c r="C116" s="295"/>
      <c r="D116" s="293" t="s">
        <v>211</v>
      </c>
      <c r="E116" s="294"/>
      <c r="F116" s="295"/>
      <c r="H116" s="5"/>
    </row>
    <row r="117" spans="2:8" ht="15" customHeight="1">
      <c r="B117" s="101">
        <v>4</v>
      </c>
      <c r="C117" s="324" t="s">
        <v>212</v>
      </c>
      <c r="D117" s="325"/>
      <c r="E117" s="87" t="s">
        <v>166</v>
      </c>
      <c r="F117" s="68" t="s">
        <v>108</v>
      </c>
      <c r="H117" s="5"/>
    </row>
    <row r="118" spans="2:8" ht="15" customHeight="1">
      <c r="B118" s="34" t="s">
        <v>165</v>
      </c>
      <c r="C118" s="290" t="str">
        <f>D64</f>
        <v>Encargos Previdenciários e FGTS</v>
      </c>
      <c r="D118" s="292"/>
      <c r="E118" s="90">
        <f>E74</f>
        <v>0.36120000000000002</v>
      </c>
      <c r="F118" s="38">
        <f>F74</f>
        <v>646.82000000000005</v>
      </c>
      <c r="H118" s="5"/>
    </row>
    <row r="119" spans="2:8" ht="15" customHeight="1">
      <c r="B119" s="34" t="s">
        <v>179</v>
      </c>
      <c r="C119" s="326" t="str">
        <f>D78</f>
        <v>13° Salário e Adicional de Férias</v>
      </c>
      <c r="D119" s="327"/>
      <c r="E119" s="90">
        <f>E84</f>
        <v>0.15124000000000001</v>
      </c>
      <c r="F119" s="38">
        <f>F84</f>
        <v>270.83999999999997</v>
      </c>
      <c r="H119" s="5"/>
    </row>
    <row r="120" spans="2:8" ht="15" customHeight="1">
      <c r="B120" s="34" t="s">
        <v>187</v>
      </c>
      <c r="C120" s="290" t="str">
        <f>D86</f>
        <v>Afastamento Maternidade</v>
      </c>
      <c r="D120" s="292"/>
      <c r="E120" s="90">
        <f>E90</f>
        <v>3.9100000000000003E-3</v>
      </c>
      <c r="F120" s="38">
        <f>F90</f>
        <v>7</v>
      </c>
      <c r="H120" s="5"/>
    </row>
    <row r="121" spans="2:8" ht="15" customHeight="1">
      <c r="B121" s="34" t="s">
        <v>191</v>
      </c>
      <c r="C121" s="290" t="str">
        <f>D92</f>
        <v>Provisão para Rescisão</v>
      </c>
      <c r="D121" s="292"/>
      <c r="E121" s="90">
        <f>E100</f>
        <v>7.0959999999999995E-2</v>
      </c>
      <c r="F121" s="38">
        <f>F100</f>
        <v>127.08</v>
      </c>
      <c r="H121" s="5"/>
    </row>
    <row r="122" spans="2:8" ht="15" customHeight="1">
      <c r="B122" s="34" t="s">
        <v>202</v>
      </c>
      <c r="C122" s="290" t="str">
        <f>D104</f>
        <v>Custo de Reposição do Profissional Ausente</v>
      </c>
      <c r="D122" s="292"/>
      <c r="E122" s="90">
        <f>E114</f>
        <v>0.17874999999999999</v>
      </c>
      <c r="F122" s="38">
        <f>F114</f>
        <v>320.10000000000002</v>
      </c>
      <c r="H122" s="5"/>
    </row>
    <row r="123" spans="2:8" ht="15" customHeight="1">
      <c r="B123" s="102" t="s">
        <v>213</v>
      </c>
      <c r="C123" s="322" t="s">
        <v>126</v>
      </c>
      <c r="D123" s="323"/>
      <c r="E123" s="90">
        <v>0</v>
      </c>
      <c r="F123" s="38">
        <v>0</v>
      </c>
      <c r="H123" s="5"/>
    </row>
    <row r="124" spans="2:8" ht="15" customHeight="1">
      <c r="B124" s="293" t="s">
        <v>57</v>
      </c>
      <c r="C124" s="294"/>
      <c r="D124" s="295"/>
      <c r="E124" s="89">
        <f>SUM(E118:E123)</f>
        <v>0.76605999999999996</v>
      </c>
      <c r="F124" s="69">
        <f>SUM(F118:F123)</f>
        <v>1371.84</v>
      </c>
      <c r="H124" s="5"/>
    </row>
    <row r="125" spans="2:8" ht="15" customHeight="1">
      <c r="H125" s="5"/>
    </row>
    <row r="126" spans="2:8" ht="15" customHeight="1">
      <c r="B126" s="293" t="s">
        <v>214</v>
      </c>
      <c r="C126" s="295"/>
      <c r="D126" s="293" t="s">
        <v>215</v>
      </c>
      <c r="E126" s="294"/>
      <c r="F126" s="295"/>
      <c r="H126" s="5"/>
    </row>
    <row r="127" spans="2:8" ht="15" customHeight="1">
      <c r="B127" s="101">
        <v>5</v>
      </c>
      <c r="C127" s="293" t="s">
        <v>216</v>
      </c>
      <c r="D127" s="295"/>
      <c r="E127" s="87" t="s">
        <v>166</v>
      </c>
      <c r="F127" s="68" t="s">
        <v>108</v>
      </c>
      <c r="H127" s="5"/>
    </row>
    <row r="128" spans="2:8" ht="15" customHeight="1">
      <c r="B128" s="34" t="s">
        <v>78</v>
      </c>
      <c r="C128" s="315" t="s">
        <v>217</v>
      </c>
      <c r="D128" s="316"/>
      <c r="E128" s="84">
        <v>0.01</v>
      </c>
      <c r="F128" s="40">
        <f>E128*F148</f>
        <v>36.090000000000003</v>
      </c>
      <c r="H128" s="5"/>
    </row>
    <row r="129" spans="2:8" ht="15" customHeight="1">
      <c r="B129" s="34" t="s">
        <v>83</v>
      </c>
      <c r="C129" s="104" t="s">
        <v>218</v>
      </c>
      <c r="D129" s="104"/>
      <c r="E129" s="84">
        <v>0.01</v>
      </c>
      <c r="F129" s="40">
        <f>E129*(F148+F128)</f>
        <v>36.450000000000003</v>
      </c>
      <c r="H129" s="5"/>
    </row>
    <row r="130" spans="2:8" ht="15" customHeight="1">
      <c r="B130" s="303" t="s">
        <v>219</v>
      </c>
      <c r="C130" s="304"/>
      <c r="D130" s="305"/>
      <c r="E130" s="79">
        <f>SUM(E128:E129)</f>
        <v>0.02</v>
      </c>
      <c r="F130" s="69">
        <f>SUM(F128:F129)</f>
        <v>72.540000000000006</v>
      </c>
      <c r="H130" s="5"/>
    </row>
    <row r="131" spans="2:8" ht="15" customHeight="1">
      <c r="B131" s="317" t="s">
        <v>86</v>
      </c>
      <c r="C131" s="290" t="s">
        <v>220</v>
      </c>
      <c r="D131" s="291"/>
      <c r="E131" s="291"/>
      <c r="F131" s="292"/>
      <c r="H131" s="5"/>
    </row>
    <row r="132" spans="2:8" ht="15" customHeight="1">
      <c r="B132" s="318"/>
      <c r="C132" s="320" t="s">
        <v>221</v>
      </c>
      <c r="D132" s="42" t="s">
        <v>222</v>
      </c>
      <c r="E132" s="80">
        <v>7.5999999999999998E-2</v>
      </c>
      <c r="F132" s="41">
        <f>(($F$148+$F$128+$F$129)/(1-$E$136))*E132</f>
        <v>326.31</v>
      </c>
      <c r="H132" s="5"/>
    </row>
    <row r="133" spans="2:8" ht="15" customHeight="1">
      <c r="B133" s="318"/>
      <c r="C133" s="321"/>
      <c r="D133" s="42" t="s">
        <v>223</v>
      </c>
      <c r="E133" s="80">
        <v>1.6500000000000001E-2</v>
      </c>
      <c r="F133" s="41">
        <f t="shared" ref="F133:F135" si="8">(($F$148+$F$128+$F$129)/(1-$E$136))*E133</f>
        <v>70.84</v>
      </c>
      <c r="H133" s="5"/>
    </row>
    <row r="134" spans="2:8" ht="15" customHeight="1">
      <c r="B134" s="318"/>
      <c r="C134" s="43" t="s">
        <v>224</v>
      </c>
      <c r="D134" s="42" t="s">
        <v>225</v>
      </c>
      <c r="E134" s="80">
        <v>0.05</v>
      </c>
      <c r="F134" s="41">
        <f t="shared" si="8"/>
        <v>214.68</v>
      </c>
      <c r="H134" s="5"/>
    </row>
    <row r="135" spans="2:8" ht="15" customHeight="1">
      <c r="B135" s="319"/>
      <c r="C135" s="43" t="s">
        <v>226</v>
      </c>
      <c r="D135" s="72"/>
      <c r="E135" s="80">
        <v>0</v>
      </c>
      <c r="F135" s="41">
        <f t="shared" si="8"/>
        <v>0</v>
      </c>
      <c r="H135" s="5"/>
    </row>
    <row r="136" spans="2:8" ht="15" customHeight="1">
      <c r="B136" s="303" t="s">
        <v>227</v>
      </c>
      <c r="C136" s="304"/>
      <c r="D136" s="305"/>
      <c r="E136" s="79">
        <f>SUM(E132:E135)</f>
        <v>0.14249999999999999</v>
      </c>
      <c r="F136" s="69">
        <f>SUM(F132:F135)</f>
        <v>611.83000000000004</v>
      </c>
      <c r="H136" s="5"/>
    </row>
    <row r="137" spans="2:8" ht="15" customHeight="1">
      <c r="B137" s="293" t="s">
        <v>57</v>
      </c>
      <c r="C137" s="294"/>
      <c r="D137" s="295"/>
      <c r="E137" s="79">
        <f>E130+E136</f>
        <v>0.16250000000000001</v>
      </c>
      <c r="F137" s="71">
        <f>SUM(F136,F130)</f>
        <v>684.37</v>
      </c>
      <c r="H137" s="5"/>
    </row>
    <row r="138" spans="2:8" ht="15" customHeight="1">
      <c r="B138" s="39" t="s">
        <v>145</v>
      </c>
      <c r="C138" s="306" t="s">
        <v>228</v>
      </c>
      <c r="D138" s="307"/>
      <c r="E138" s="307"/>
      <c r="F138" s="308"/>
      <c r="H138" s="5"/>
    </row>
    <row r="139" spans="2:8" ht="15" customHeight="1">
      <c r="B139" s="39" t="s">
        <v>148</v>
      </c>
      <c r="C139" s="306" t="s">
        <v>229</v>
      </c>
      <c r="D139" s="307"/>
      <c r="E139" s="307"/>
      <c r="F139" s="308"/>
      <c r="H139" s="5"/>
    </row>
    <row r="140" spans="2:8" ht="25.5" customHeight="1">
      <c r="B140" s="39" t="s">
        <v>230</v>
      </c>
      <c r="C140" s="309" t="s">
        <v>231</v>
      </c>
      <c r="D140" s="310"/>
      <c r="E140" s="310"/>
      <c r="F140" s="311"/>
      <c r="H140" s="5"/>
    </row>
    <row r="141" spans="2:8" ht="15" customHeight="1">
      <c r="H141" s="5"/>
    </row>
    <row r="142" spans="2:8" ht="15" customHeight="1">
      <c r="B142" s="293" t="s">
        <v>232</v>
      </c>
      <c r="C142" s="294"/>
      <c r="D142" s="294"/>
      <c r="E142" s="294"/>
      <c r="F142" s="295"/>
      <c r="H142" s="5"/>
    </row>
    <row r="143" spans="2:8" ht="15" customHeight="1">
      <c r="B143" s="300" t="s">
        <v>233</v>
      </c>
      <c r="C143" s="301"/>
      <c r="D143" s="301"/>
      <c r="E143" s="302"/>
      <c r="F143" s="65" t="s">
        <v>234</v>
      </c>
      <c r="H143" s="5"/>
    </row>
    <row r="144" spans="2:8" ht="15" customHeight="1">
      <c r="B144" s="34" t="s">
        <v>78</v>
      </c>
      <c r="C144" s="290" t="s">
        <v>235</v>
      </c>
      <c r="D144" s="291"/>
      <c r="E144" s="292"/>
      <c r="F144" s="38">
        <f>F37</f>
        <v>1790.77</v>
      </c>
      <c r="H144" s="5"/>
    </row>
    <row r="145" spans="2:8" ht="15" customHeight="1">
      <c r="B145" s="34" t="s">
        <v>83</v>
      </c>
      <c r="C145" s="290" t="s">
        <v>236</v>
      </c>
      <c r="D145" s="291"/>
      <c r="E145" s="292"/>
      <c r="F145" s="38">
        <f>F47</f>
        <v>239.64</v>
      </c>
      <c r="H145" s="5"/>
    </row>
    <row r="146" spans="2:8" ht="15" customHeight="1">
      <c r="B146" s="34" t="s">
        <v>86</v>
      </c>
      <c r="C146" s="290" t="s">
        <v>237</v>
      </c>
      <c r="D146" s="291"/>
      <c r="E146" s="292"/>
      <c r="F146" s="38">
        <f>F60</f>
        <v>206.93</v>
      </c>
      <c r="H146" s="5"/>
    </row>
    <row r="147" spans="2:8" ht="15" customHeight="1">
      <c r="B147" s="34" t="s">
        <v>88</v>
      </c>
      <c r="C147" s="290" t="s">
        <v>212</v>
      </c>
      <c r="D147" s="291"/>
      <c r="E147" s="292"/>
      <c r="F147" s="38">
        <f>F124</f>
        <v>1371.84</v>
      </c>
      <c r="H147" s="5"/>
    </row>
    <row r="148" spans="2:8" ht="15" customHeight="1">
      <c r="B148" s="293" t="s">
        <v>238</v>
      </c>
      <c r="C148" s="294"/>
      <c r="D148" s="294"/>
      <c r="E148" s="295"/>
      <c r="F148" s="73">
        <f>SUM(F144:F147)</f>
        <v>3609.18</v>
      </c>
      <c r="H148" s="5"/>
    </row>
    <row r="149" spans="2:8" ht="15" customHeight="1">
      <c r="B149" s="34" t="s">
        <v>113</v>
      </c>
      <c r="C149" s="290" t="s">
        <v>239</v>
      </c>
      <c r="D149" s="291"/>
      <c r="E149" s="292"/>
      <c r="F149" s="38">
        <f>F137</f>
        <v>684.37</v>
      </c>
      <c r="H149" s="5"/>
    </row>
    <row r="150" spans="2:8" ht="15" customHeight="1">
      <c r="B150" s="293" t="s">
        <v>240</v>
      </c>
      <c r="C150" s="294"/>
      <c r="D150" s="294"/>
      <c r="E150" s="295"/>
      <c r="F150" s="73">
        <f>SUM(F148:F149)</f>
        <v>4293.55</v>
      </c>
      <c r="H150" s="5"/>
    </row>
    <row r="151" spans="2:8" ht="15" customHeight="1">
      <c r="B151" s="472" t="s">
        <v>264</v>
      </c>
      <c r="C151" s="472"/>
      <c r="D151" s="472"/>
      <c r="E151" s="472"/>
      <c r="F151" s="110">
        <f>F150*E16</f>
        <v>4293.55</v>
      </c>
      <c r="H151" s="5"/>
    </row>
    <row r="152" spans="2:8" ht="15" customHeight="1">
      <c r="H152" s="5"/>
    </row>
    <row r="153" spans="2:8" ht="26.25" customHeight="1">
      <c r="B153" s="470" t="s">
        <v>151</v>
      </c>
      <c r="C153" s="470"/>
      <c r="D153" s="111" t="s">
        <v>152</v>
      </c>
      <c r="E153" s="470" t="s">
        <v>251</v>
      </c>
      <c r="F153" s="470"/>
      <c r="G153" s="112"/>
      <c r="H153" s="5"/>
    </row>
    <row r="154" spans="2:8" ht="31.5" customHeight="1">
      <c r="B154" s="470" t="s">
        <v>253</v>
      </c>
      <c r="C154" s="470"/>
      <c r="D154" s="113">
        <v>60</v>
      </c>
      <c r="E154" s="471">
        <f>F151*D154</f>
        <v>257613</v>
      </c>
      <c r="F154" s="471"/>
      <c r="H154" s="5"/>
    </row>
    <row r="155" spans="2:8" ht="35.25" customHeight="1">
      <c r="B155" s="470" t="s">
        <v>263</v>
      </c>
      <c r="C155" s="470"/>
      <c r="D155" s="113">
        <v>12</v>
      </c>
      <c r="E155" s="471">
        <f>F151*D155</f>
        <v>51522.6</v>
      </c>
      <c r="F155" s="471"/>
      <c r="H155" s="5"/>
    </row>
  </sheetData>
  <mergeCells count="150">
    <mergeCell ref="B155:C155"/>
    <mergeCell ref="E155:F155"/>
    <mergeCell ref="C149:E149"/>
    <mergeCell ref="B150:E150"/>
    <mergeCell ref="B151:E151"/>
    <mergeCell ref="B153:C153"/>
    <mergeCell ref="E153:F153"/>
    <mergeCell ref="B154:C154"/>
    <mergeCell ref="E154:F154"/>
    <mergeCell ref="B143:E143"/>
    <mergeCell ref="C144:E144"/>
    <mergeCell ref="C145:E145"/>
    <mergeCell ref="C146:E146"/>
    <mergeCell ref="C147:E147"/>
    <mergeCell ref="B148:E148"/>
    <mergeCell ref="B136:D136"/>
    <mergeCell ref="B137:D137"/>
    <mergeCell ref="C138:F138"/>
    <mergeCell ref="C139:F139"/>
    <mergeCell ref="C140:F140"/>
    <mergeCell ref="B142:F142"/>
    <mergeCell ref="C127:D127"/>
    <mergeCell ref="C128:D128"/>
    <mergeCell ref="B130:D130"/>
    <mergeCell ref="B131:B135"/>
    <mergeCell ref="C131:F131"/>
    <mergeCell ref="C132:C133"/>
    <mergeCell ref="C121:D121"/>
    <mergeCell ref="C122:D122"/>
    <mergeCell ref="C123:D123"/>
    <mergeCell ref="B124:D124"/>
    <mergeCell ref="B126:C126"/>
    <mergeCell ref="D126:F126"/>
    <mergeCell ref="B116:C116"/>
    <mergeCell ref="D116:F116"/>
    <mergeCell ref="C117:D117"/>
    <mergeCell ref="C118:D118"/>
    <mergeCell ref="C119:D119"/>
    <mergeCell ref="C120:D120"/>
    <mergeCell ref="C109:D109"/>
    <mergeCell ref="C110:D110"/>
    <mergeCell ref="C111:D111"/>
    <mergeCell ref="B112:D112"/>
    <mergeCell ref="C113:D113"/>
    <mergeCell ref="B114:D114"/>
    <mergeCell ref="B104:C104"/>
    <mergeCell ref="D104:F104"/>
    <mergeCell ref="C105:D105"/>
    <mergeCell ref="C106:D106"/>
    <mergeCell ref="C107:D107"/>
    <mergeCell ref="C108:D108"/>
    <mergeCell ref="C97:D97"/>
    <mergeCell ref="C98:D98"/>
    <mergeCell ref="C99:D99"/>
    <mergeCell ref="B100:D100"/>
    <mergeCell ref="C101:F101"/>
    <mergeCell ref="C102:F102"/>
    <mergeCell ref="B92:C92"/>
    <mergeCell ref="D92:F92"/>
    <mergeCell ref="C93:D93"/>
    <mergeCell ref="C94:D94"/>
    <mergeCell ref="C95:D95"/>
    <mergeCell ref="C96:D96"/>
    <mergeCell ref="B86:C86"/>
    <mergeCell ref="D86:F86"/>
    <mergeCell ref="C87:D87"/>
    <mergeCell ref="C88:D88"/>
    <mergeCell ref="C89:D89"/>
    <mergeCell ref="B90:D90"/>
    <mergeCell ref="C79:D79"/>
    <mergeCell ref="C80:D80"/>
    <mergeCell ref="C81:D81"/>
    <mergeCell ref="B82:D82"/>
    <mergeCell ref="C83:D83"/>
    <mergeCell ref="B84:D84"/>
    <mergeCell ref="C72:D72"/>
    <mergeCell ref="C73:D73"/>
    <mergeCell ref="B74:D74"/>
    <mergeCell ref="C75:F75"/>
    <mergeCell ref="C76:F76"/>
    <mergeCell ref="B78:C78"/>
    <mergeCell ref="D78:F78"/>
    <mergeCell ref="C66:D66"/>
    <mergeCell ref="C67:D67"/>
    <mergeCell ref="C68:D68"/>
    <mergeCell ref="C69:D69"/>
    <mergeCell ref="C70:D70"/>
    <mergeCell ref="C71:D71"/>
    <mergeCell ref="C61:F61"/>
    <mergeCell ref="B63:C63"/>
    <mergeCell ref="D63:F63"/>
    <mergeCell ref="B64:C64"/>
    <mergeCell ref="D64:F64"/>
    <mergeCell ref="C65:D65"/>
    <mergeCell ref="C55:E55"/>
    <mergeCell ref="C56:E56"/>
    <mergeCell ref="C57:E57"/>
    <mergeCell ref="C58:E58"/>
    <mergeCell ref="C59:E59"/>
    <mergeCell ref="B60:E60"/>
    <mergeCell ref="B47:E47"/>
    <mergeCell ref="C48:F48"/>
    <mergeCell ref="B49:B52"/>
    <mergeCell ref="C49:F52"/>
    <mergeCell ref="B54:C54"/>
    <mergeCell ref="D54:F54"/>
    <mergeCell ref="C41:E41"/>
    <mergeCell ref="C42:E42"/>
    <mergeCell ref="C43:E43"/>
    <mergeCell ref="C44:E44"/>
    <mergeCell ref="C45:E45"/>
    <mergeCell ref="C46:E46"/>
    <mergeCell ref="C28:E28"/>
    <mergeCell ref="C36:D36"/>
    <mergeCell ref="B37:D37"/>
    <mergeCell ref="B39:C39"/>
    <mergeCell ref="D39:F39"/>
    <mergeCell ref="C40:E40"/>
    <mergeCell ref="C22:E22"/>
    <mergeCell ref="C23:E23"/>
    <mergeCell ref="C24:E24"/>
    <mergeCell ref="C25:E25"/>
    <mergeCell ref="C26:F26"/>
    <mergeCell ref="B27:C27"/>
    <mergeCell ref="D27:F27"/>
    <mergeCell ref="B16:C16"/>
    <mergeCell ref="E16:F16"/>
    <mergeCell ref="B18:F18"/>
    <mergeCell ref="B19:F19"/>
    <mergeCell ref="B20:F20"/>
    <mergeCell ref="B21:F21"/>
    <mergeCell ref="B14:F14"/>
    <mergeCell ref="B15:C15"/>
    <mergeCell ref="E15:F15"/>
    <mergeCell ref="B8:C8"/>
    <mergeCell ref="E8:F8"/>
    <mergeCell ref="B9:F9"/>
    <mergeCell ref="C10:D10"/>
    <mergeCell ref="E10:F10"/>
    <mergeCell ref="C11:D11"/>
    <mergeCell ref="E11:F11"/>
    <mergeCell ref="E2:F2"/>
    <mergeCell ref="B3:F3"/>
    <mergeCell ref="B4:F4"/>
    <mergeCell ref="E5:F5"/>
    <mergeCell ref="E6:F6"/>
    <mergeCell ref="B7:F7"/>
    <mergeCell ref="E12:F12"/>
    <mergeCell ref="C13:D13"/>
    <mergeCell ref="E13:F13"/>
  </mergeCells>
  <pageMargins left="0.51181102362204722" right="0.51181102362204722" top="0.78740157480314965" bottom="0.78740157480314965" header="0.31496062992125984" footer="0.31496062992125984"/>
  <pageSetup paperSize="9" scale="75" orientation="portrait" r:id="rId1"/>
  <rowBreaks count="1" manualBreakCount="1">
    <brk id="90" max="16383" man="1"/>
  </rowBreaks>
  <colBreaks count="1" manualBreakCount="1">
    <brk id="7" max="1048575" man="1"/>
  </colBreaks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1000-000000000000}">
          <x14:formula1>
            <xm:f>'#listas#'!$E$1:$E$22</xm:f>
          </x14:formula1>
          <xm:sqref>C2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B1:T303"/>
  <sheetViews>
    <sheetView showGridLines="0" view="pageBreakPreview" topLeftCell="A40" zoomScaleNormal="115" zoomScaleSheetLayoutView="100" workbookViewId="0">
      <selection activeCell="C49" sqref="C49:F52"/>
    </sheetView>
  </sheetViews>
  <sheetFormatPr defaultColWidth="9.140625" defaultRowHeight="15" customHeight="1"/>
  <cols>
    <col min="1" max="1" width="4.42578125" style="5" customWidth="1"/>
    <col min="2" max="2" width="12.85546875" style="44" customWidth="1"/>
    <col min="3" max="3" width="43.42578125" style="44" customWidth="1"/>
    <col min="4" max="4" width="18.85546875" style="44" bestFit="1" customWidth="1"/>
    <col min="5" max="5" width="10.140625" style="85" bestFit="1" customWidth="1"/>
    <col min="6" max="6" width="11.7109375" style="45" customWidth="1"/>
    <col min="7" max="8" width="3.28515625" style="5" customWidth="1"/>
    <col min="9" max="9" width="12.28515625" style="10" bestFit="1" customWidth="1"/>
    <col min="10" max="10" width="4.7109375" style="10" customWidth="1"/>
    <col min="11" max="11" width="2.28515625" style="10" customWidth="1"/>
    <col min="12" max="12" width="4.7109375" style="10" customWidth="1"/>
    <col min="13" max="13" width="13.7109375" style="10" bestFit="1" customWidth="1"/>
    <col min="14" max="14" width="15.140625" style="10" bestFit="1" customWidth="1"/>
    <col min="15" max="15" width="19.28515625" style="11" bestFit="1" customWidth="1"/>
    <col min="16" max="16" width="13.28515625" style="11" customWidth="1"/>
    <col min="17" max="18" width="13.28515625" style="10" customWidth="1"/>
    <col min="19" max="19" width="3.42578125" style="5" customWidth="1"/>
    <col min="20" max="20" width="12.140625" style="52" customWidth="1"/>
    <col min="21" max="16384" width="9.140625" style="5"/>
  </cols>
  <sheetData>
    <row r="1" spans="2:20" ht="15" customHeight="1">
      <c r="I1" s="7"/>
      <c r="J1" s="7"/>
      <c r="K1" s="7"/>
      <c r="L1" s="7"/>
      <c r="M1" s="7"/>
      <c r="N1" s="7"/>
      <c r="O1" s="7"/>
      <c r="P1" s="7"/>
      <c r="Q1" s="7"/>
      <c r="R1" s="7"/>
      <c r="S1" s="46"/>
      <c r="T1" s="47"/>
    </row>
    <row r="2" spans="2:20" s="49" customFormat="1" ht="15" customHeight="1">
      <c r="B2" s="8" t="s">
        <v>55</v>
      </c>
      <c r="C2" s="50" t="s">
        <v>21</v>
      </c>
      <c r="D2" s="8" t="s">
        <v>59</v>
      </c>
      <c r="E2" s="462"/>
      <c r="F2" s="462"/>
      <c r="H2" s="48"/>
      <c r="I2" s="8" t="s">
        <v>55</v>
      </c>
      <c r="J2" s="463" t="str">
        <f>C2</f>
        <v>IPANGUAÇU</v>
      </c>
      <c r="K2" s="464"/>
      <c r="L2" s="464"/>
      <c r="M2" s="465"/>
      <c r="N2" s="8" t="s">
        <v>59</v>
      </c>
      <c r="O2" s="50">
        <f>E2</f>
        <v>0</v>
      </c>
      <c r="P2" s="7"/>
      <c r="Q2" s="7"/>
      <c r="R2" s="7"/>
      <c r="T2" s="51"/>
    </row>
    <row r="3" spans="2:20" ht="21">
      <c r="B3" s="466" t="s">
        <v>290</v>
      </c>
      <c r="C3" s="466"/>
      <c r="D3" s="466"/>
      <c r="E3" s="466"/>
      <c r="F3" s="466"/>
      <c r="I3" s="467" t="s">
        <v>257</v>
      </c>
      <c r="J3" s="467"/>
      <c r="K3" s="467"/>
      <c r="L3" s="467"/>
      <c r="M3" s="467"/>
      <c r="N3" s="467"/>
      <c r="O3" s="467"/>
      <c r="P3" s="467"/>
      <c r="Q3" s="467"/>
      <c r="R3" s="467"/>
    </row>
    <row r="4" spans="2:20" ht="15" customHeight="1">
      <c r="B4" s="362" t="s">
        <v>60</v>
      </c>
      <c r="C4" s="362"/>
      <c r="D4" s="362"/>
      <c r="E4" s="362"/>
      <c r="F4" s="362"/>
      <c r="I4" s="362" t="s">
        <v>61</v>
      </c>
      <c r="J4" s="362"/>
      <c r="K4" s="362"/>
      <c r="L4" s="362"/>
      <c r="M4" s="362"/>
      <c r="N4" s="362"/>
      <c r="O4" s="362"/>
      <c r="P4" s="362"/>
      <c r="Q4" s="362"/>
      <c r="R4" s="362"/>
    </row>
    <row r="5" spans="2:20" ht="15" customHeight="1">
      <c r="B5" s="34" t="s">
        <v>62</v>
      </c>
      <c r="C5" s="30"/>
      <c r="D5" s="103" t="s">
        <v>63</v>
      </c>
      <c r="E5" s="468"/>
      <c r="F5" s="468"/>
      <c r="I5" s="362" t="s">
        <v>64</v>
      </c>
      <c r="J5" s="362"/>
      <c r="K5" s="362"/>
      <c r="L5" s="362"/>
      <c r="M5" s="362"/>
      <c r="N5" s="362"/>
      <c r="O5" s="362"/>
      <c r="P5" s="362"/>
      <c r="Q5" s="362"/>
      <c r="R5" s="362"/>
    </row>
    <row r="6" spans="2:20" ht="15" customHeight="1">
      <c r="B6" s="34" t="s">
        <v>65</v>
      </c>
      <c r="C6" s="31"/>
      <c r="D6" s="34" t="s">
        <v>66</v>
      </c>
      <c r="E6" s="468"/>
      <c r="F6" s="468"/>
    </row>
    <row r="7" spans="2:20" ht="15" customHeight="1">
      <c r="B7" s="362" t="s">
        <v>67</v>
      </c>
      <c r="C7" s="362"/>
      <c r="D7" s="362"/>
      <c r="E7" s="362"/>
      <c r="F7" s="362"/>
      <c r="I7" s="293" t="s">
        <v>68</v>
      </c>
      <c r="J7" s="294"/>
      <c r="K7" s="294"/>
      <c r="L7" s="294"/>
      <c r="M7" s="294"/>
      <c r="N7" s="294"/>
      <c r="O7" s="295"/>
      <c r="P7" s="10"/>
    </row>
    <row r="8" spans="2:20" ht="15" customHeight="1">
      <c r="B8" s="459" t="s">
        <v>69</v>
      </c>
      <c r="C8" s="460"/>
      <c r="D8" s="34" t="s">
        <v>70</v>
      </c>
      <c r="E8" s="354"/>
      <c r="F8" s="355"/>
      <c r="I8" s="418" t="s">
        <v>71</v>
      </c>
      <c r="J8" s="426" t="s">
        <v>72</v>
      </c>
      <c r="K8" s="427"/>
      <c r="L8" s="427"/>
      <c r="M8" s="428"/>
      <c r="N8" s="12" t="s">
        <v>73</v>
      </c>
      <c r="O8" s="13" t="s">
        <v>74</v>
      </c>
      <c r="P8" s="10"/>
    </row>
    <row r="9" spans="2:20" ht="15" customHeight="1">
      <c r="B9" s="362" t="s">
        <v>75</v>
      </c>
      <c r="C9" s="362"/>
      <c r="D9" s="362"/>
      <c r="E9" s="362"/>
      <c r="F9" s="362"/>
      <c r="I9" s="425"/>
      <c r="J9" s="429" t="s">
        <v>76</v>
      </c>
      <c r="K9" s="430"/>
      <c r="L9" s="430"/>
      <c r="M9" s="431"/>
      <c r="N9" s="12" t="s">
        <v>245</v>
      </c>
      <c r="O9" s="13" t="s">
        <v>77</v>
      </c>
      <c r="P9" s="10"/>
    </row>
    <row r="10" spans="2:20" ht="15" customHeight="1">
      <c r="B10" s="34" t="s">
        <v>78</v>
      </c>
      <c r="C10" s="290" t="s">
        <v>79</v>
      </c>
      <c r="D10" s="291"/>
      <c r="E10" s="461"/>
      <c r="F10" s="461"/>
      <c r="I10" s="419"/>
      <c r="J10" s="432" t="s">
        <v>80</v>
      </c>
      <c r="K10" s="433"/>
      <c r="L10" s="433"/>
      <c r="M10" s="434"/>
      <c r="N10" s="14" t="s">
        <v>244</v>
      </c>
      <c r="O10" s="15" t="s">
        <v>82</v>
      </c>
      <c r="P10" s="10"/>
    </row>
    <row r="11" spans="2:20" ht="15" customHeight="1">
      <c r="B11" s="34" t="s">
        <v>83</v>
      </c>
      <c r="C11" s="290" t="s">
        <v>84</v>
      </c>
      <c r="D11" s="291"/>
      <c r="E11" s="300" t="s">
        <v>276</v>
      </c>
      <c r="F11" s="302"/>
      <c r="I11" s="418" t="s">
        <v>56</v>
      </c>
      <c r="J11" s="439">
        <v>1</v>
      </c>
      <c r="K11" s="440"/>
      <c r="L11" s="441"/>
      <c r="M11" s="457">
        <f>J11/(J12*L12)</f>
        <v>2.77778E-5</v>
      </c>
      <c r="N11" s="442">
        <f>$F$298</f>
        <v>2831.46</v>
      </c>
      <c r="O11" s="444">
        <f>N11*M11</f>
        <v>0.08</v>
      </c>
      <c r="P11" s="10"/>
    </row>
    <row r="12" spans="2:20" ht="15" customHeight="1">
      <c r="B12" s="34" t="s">
        <v>86</v>
      </c>
      <c r="C12" s="53" t="s">
        <v>87</v>
      </c>
      <c r="D12" s="54"/>
      <c r="E12" s="300" t="s">
        <v>294</v>
      </c>
      <c r="F12" s="302"/>
      <c r="I12" s="419"/>
      <c r="J12" s="127">
        <v>30</v>
      </c>
      <c r="K12" s="128" t="s">
        <v>242</v>
      </c>
      <c r="L12" s="129">
        <v>1200</v>
      </c>
      <c r="M12" s="457"/>
      <c r="N12" s="443"/>
      <c r="O12" s="445"/>
      <c r="P12" s="10"/>
    </row>
    <row r="13" spans="2:20" ht="15" customHeight="1">
      <c r="B13" s="34" t="s">
        <v>88</v>
      </c>
      <c r="C13" s="322" t="s">
        <v>89</v>
      </c>
      <c r="D13" s="328"/>
      <c r="E13" s="300">
        <v>12</v>
      </c>
      <c r="F13" s="302"/>
      <c r="I13" s="418" t="s">
        <v>255</v>
      </c>
      <c r="J13" s="439">
        <v>1</v>
      </c>
      <c r="K13" s="440"/>
      <c r="L13" s="441"/>
      <c r="M13" s="458">
        <f>J13/J14</f>
        <v>8.3333330000000001E-4</v>
      </c>
      <c r="N13" s="442">
        <f>$F$150</f>
        <v>3830.27</v>
      </c>
      <c r="O13" s="444">
        <f>N13*M13</f>
        <v>3.19</v>
      </c>
      <c r="P13" s="10"/>
    </row>
    <row r="14" spans="2:20" ht="15" customHeight="1">
      <c r="B14" s="362" t="s">
        <v>90</v>
      </c>
      <c r="C14" s="362"/>
      <c r="D14" s="362"/>
      <c r="E14" s="362"/>
      <c r="F14" s="362"/>
      <c r="I14" s="419"/>
      <c r="J14" s="446">
        <v>1200</v>
      </c>
      <c r="K14" s="447"/>
      <c r="L14" s="448"/>
      <c r="M14" s="458"/>
      <c r="N14" s="443"/>
      <c r="O14" s="445"/>
      <c r="P14" s="10"/>
    </row>
    <row r="15" spans="2:20" ht="15" customHeight="1">
      <c r="B15" s="451" t="s">
        <v>91</v>
      </c>
      <c r="C15" s="451"/>
      <c r="D15" s="32" t="s">
        <v>92</v>
      </c>
      <c r="E15" s="452" t="s">
        <v>243</v>
      </c>
      <c r="F15" s="453"/>
      <c r="H15" s="3"/>
      <c r="I15" s="454" t="s">
        <v>93</v>
      </c>
      <c r="J15" s="454"/>
      <c r="K15" s="454"/>
      <c r="L15" s="454"/>
      <c r="M15" s="454"/>
      <c r="N15" s="454"/>
      <c r="O15" s="28">
        <f>SUM(O11:O14)</f>
        <v>3.27</v>
      </c>
      <c r="P15" s="10"/>
    </row>
    <row r="16" spans="2:20" ht="15" customHeight="1">
      <c r="B16" s="455" t="s">
        <v>94</v>
      </c>
      <c r="C16" s="455"/>
      <c r="D16" s="9" t="s">
        <v>95</v>
      </c>
      <c r="E16" s="456">
        <v>11</v>
      </c>
      <c r="F16" s="456"/>
      <c r="I16" s="16"/>
      <c r="O16" s="10"/>
      <c r="P16" s="10"/>
      <c r="T16" s="5"/>
    </row>
    <row r="17" spans="2:20" ht="15" customHeight="1">
      <c r="I17" s="293" t="s">
        <v>97</v>
      </c>
      <c r="J17" s="294"/>
      <c r="K17" s="294"/>
      <c r="L17" s="294"/>
      <c r="M17" s="294"/>
      <c r="N17" s="294"/>
      <c r="O17" s="295"/>
      <c r="P17" s="10"/>
      <c r="T17" s="5"/>
    </row>
    <row r="18" spans="2:20" ht="12.75" customHeight="1">
      <c r="B18" s="450"/>
      <c r="C18" s="450"/>
      <c r="D18" s="450"/>
      <c r="E18" s="450"/>
      <c r="F18" s="450"/>
      <c r="H18" s="55"/>
      <c r="I18" s="418" t="s">
        <v>71</v>
      </c>
      <c r="J18" s="426" t="s">
        <v>72</v>
      </c>
      <c r="K18" s="427"/>
      <c r="L18" s="427"/>
      <c r="M18" s="428"/>
      <c r="N18" s="12" t="s">
        <v>73</v>
      </c>
      <c r="O18" s="13" t="s">
        <v>74</v>
      </c>
      <c r="P18" s="10"/>
      <c r="T18" s="5"/>
    </row>
    <row r="19" spans="2:20" ht="15" customHeight="1">
      <c r="B19" s="362" t="s">
        <v>71</v>
      </c>
      <c r="C19" s="362"/>
      <c r="D19" s="362"/>
      <c r="E19" s="362"/>
      <c r="F19" s="362"/>
      <c r="I19" s="425"/>
      <c r="J19" s="429" t="s">
        <v>76</v>
      </c>
      <c r="K19" s="430"/>
      <c r="L19" s="430"/>
      <c r="M19" s="431"/>
      <c r="N19" s="12" t="s">
        <v>245</v>
      </c>
      <c r="O19" s="13" t="s">
        <v>77</v>
      </c>
      <c r="P19" s="10"/>
      <c r="T19" s="5"/>
    </row>
    <row r="20" spans="2:20" ht="15" customHeight="1">
      <c r="B20" s="362" t="s">
        <v>96</v>
      </c>
      <c r="C20" s="362"/>
      <c r="D20" s="362"/>
      <c r="E20" s="362"/>
      <c r="F20" s="362"/>
      <c r="I20" s="419"/>
      <c r="J20" s="432" t="s">
        <v>80</v>
      </c>
      <c r="K20" s="433"/>
      <c r="L20" s="433"/>
      <c r="M20" s="434"/>
      <c r="N20" s="14" t="s">
        <v>244</v>
      </c>
      <c r="O20" s="15" t="s">
        <v>82</v>
      </c>
      <c r="P20" s="10"/>
      <c r="T20" s="5"/>
    </row>
    <row r="21" spans="2:20" ht="15" customHeight="1">
      <c r="B21" s="437" t="s">
        <v>98</v>
      </c>
      <c r="C21" s="437"/>
      <c r="D21" s="437"/>
      <c r="E21" s="437"/>
      <c r="F21" s="437"/>
      <c r="I21" s="418" t="s">
        <v>56</v>
      </c>
      <c r="J21" s="439">
        <v>1</v>
      </c>
      <c r="K21" s="440"/>
      <c r="L21" s="441"/>
      <c r="M21" s="435">
        <f>J21/(J22*L22)</f>
        <v>1.6666700000000001E-5</v>
      </c>
      <c r="N21" s="442">
        <f>$N$11</f>
        <v>2831.46</v>
      </c>
      <c r="O21" s="444">
        <f>N21*M21</f>
        <v>0.05</v>
      </c>
      <c r="P21" s="10"/>
      <c r="T21" s="5"/>
    </row>
    <row r="22" spans="2:20" ht="15" customHeight="1">
      <c r="B22" s="34">
        <v>1</v>
      </c>
      <c r="C22" s="449" t="s">
        <v>99</v>
      </c>
      <c r="D22" s="449"/>
      <c r="E22" s="449"/>
      <c r="F22" s="56"/>
      <c r="I22" s="419"/>
      <c r="J22" s="127">
        <v>30</v>
      </c>
      <c r="K22" s="128" t="s">
        <v>242</v>
      </c>
      <c r="L22" s="129">
        <v>2000</v>
      </c>
      <c r="M22" s="436"/>
      <c r="N22" s="443"/>
      <c r="O22" s="445"/>
      <c r="P22" s="10"/>
      <c r="T22" s="5"/>
    </row>
    <row r="23" spans="2:20" ht="15" customHeight="1">
      <c r="B23" s="34">
        <v>2</v>
      </c>
      <c r="C23" s="437" t="s">
        <v>100</v>
      </c>
      <c r="D23" s="437"/>
      <c r="E23" s="437"/>
      <c r="F23" s="57">
        <v>988.8</v>
      </c>
      <c r="I23" s="418" t="s">
        <v>255</v>
      </c>
      <c r="J23" s="439">
        <v>1</v>
      </c>
      <c r="K23" s="440"/>
      <c r="L23" s="441"/>
      <c r="M23" s="423">
        <f>J23/J24</f>
        <v>5.0000000000000001E-4</v>
      </c>
      <c r="N23" s="442">
        <f>$N$13</f>
        <v>3830.27</v>
      </c>
      <c r="O23" s="444">
        <f>N23*M23</f>
        <v>1.92</v>
      </c>
      <c r="P23" s="10"/>
      <c r="T23" s="5"/>
    </row>
    <row r="24" spans="2:20" ht="15" customHeight="1">
      <c r="B24" s="34">
        <v>3</v>
      </c>
      <c r="C24" s="437" t="s">
        <v>101</v>
      </c>
      <c r="D24" s="437"/>
      <c r="E24" s="437"/>
      <c r="F24" s="56"/>
      <c r="I24" s="419"/>
      <c r="J24" s="446">
        <v>2000</v>
      </c>
      <c r="K24" s="447"/>
      <c r="L24" s="448"/>
      <c r="M24" s="424"/>
      <c r="N24" s="443"/>
      <c r="O24" s="445"/>
      <c r="P24" s="10"/>
      <c r="T24" s="5"/>
    </row>
    <row r="25" spans="2:20" ht="15" customHeight="1">
      <c r="B25" s="34">
        <v>4</v>
      </c>
      <c r="C25" s="437" t="s">
        <v>102</v>
      </c>
      <c r="D25" s="437"/>
      <c r="E25" s="437"/>
      <c r="F25" s="58">
        <v>42736</v>
      </c>
      <c r="I25" s="411" t="s">
        <v>93</v>
      </c>
      <c r="J25" s="412"/>
      <c r="K25" s="412"/>
      <c r="L25" s="412"/>
      <c r="M25" s="412"/>
      <c r="N25" s="413"/>
      <c r="O25" s="28">
        <f>SUM(O21:O24)</f>
        <v>1.97</v>
      </c>
      <c r="P25" s="10"/>
      <c r="T25" s="5"/>
    </row>
    <row r="26" spans="2:20" ht="15" customHeight="1">
      <c r="B26" s="37" t="s">
        <v>103</v>
      </c>
      <c r="C26" s="438" t="s">
        <v>104</v>
      </c>
      <c r="D26" s="438"/>
      <c r="E26" s="438"/>
      <c r="F26" s="438"/>
      <c r="I26" s="16"/>
      <c r="O26" s="10"/>
      <c r="P26" s="10"/>
      <c r="T26" s="5"/>
    </row>
    <row r="27" spans="2:20" ht="15" customHeight="1">
      <c r="B27" s="362" t="s">
        <v>105</v>
      </c>
      <c r="C27" s="362"/>
      <c r="D27" s="362" t="s">
        <v>106</v>
      </c>
      <c r="E27" s="362"/>
      <c r="F27" s="362"/>
      <c r="I27" s="293" t="s">
        <v>115</v>
      </c>
      <c r="J27" s="294"/>
      <c r="K27" s="294"/>
      <c r="L27" s="294"/>
      <c r="M27" s="294"/>
      <c r="N27" s="294"/>
      <c r="O27" s="294"/>
      <c r="P27" s="294"/>
      <c r="Q27" s="294"/>
      <c r="R27" s="295"/>
      <c r="T27" s="5"/>
    </row>
    <row r="28" spans="2:20" ht="15" customHeight="1">
      <c r="B28" s="101">
        <v>1</v>
      </c>
      <c r="C28" s="362" t="s">
        <v>107</v>
      </c>
      <c r="D28" s="362"/>
      <c r="E28" s="362"/>
      <c r="F28" s="68" t="s">
        <v>108</v>
      </c>
      <c r="I28" s="418" t="s">
        <v>71</v>
      </c>
      <c r="J28" s="426" t="s">
        <v>72</v>
      </c>
      <c r="K28" s="427"/>
      <c r="L28" s="427"/>
      <c r="M28" s="428"/>
      <c r="N28" s="17" t="s">
        <v>73</v>
      </c>
      <c r="O28" s="18" t="s">
        <v>118</v>
      </c>
      <c r="P28" s="19" t="s">
        <v>119</v>
      </c>
      <c r="Q28" s="19" t="s">
        <v>120</v>
      </c>
      <c r="R28" s="95" t="s">
        <v>121</v>
      </c>
      <c r="T28" s="5"/>
    </row>
    <row r="29" spans="2:20" ht="15" customHeight="1">
      <c r="B29" s="34" t="s">
        <v>78</v>
      </c>
      <c r="C29" s="59" t="s">
        <v>109</v>
      </c>
      <c r="D29" s="60"/>
      <c r="E29" s="80"/>
      <c r="F29" s="61">
        <v>988.8</v>
      </c>
      <c r="I29" s="425"/>
      <c r="J29" s="429" t="s">
        <v>76</v>
      </c>
      <c r="K29" s="430"/>
      <c r="L29" s="430"/>
      <c r="M29" s="431"/>
      <c r="N29" s="4" t="s">
        <v>247</v>
      </c>
      <c r="O29" s="20" t="s">
        <v>248</v>
      </c>
      <c r="P29" s="6" t="s">
        <v>124</v>
      </c>
      <c r="Q29" s="12" t="s">
        <v>245</v>
      </c>
      <c r="R29" s="100" t="s">
        <v>77</v>
      </c>
      <c r="T29" s="5"/>
    </row>
    <row r="30" spans="2:20" ht="15" customHeight="1">
      <c r="B30" s="34" t="s">
        <v>83</v>
      </c>
      <c r="C30" s="59" t="s">
        <v>110</v>
      </c>
      <c r="D30" s="60"/>
      <c r="E30" s="80"/>
      <c r="F30" s="61">
        <f>$F$29*E30</f>
        <v>0</v>
      </c>
      <c r="I30" s="419"/>
      <c r="J30" s="432" t="s">
        <v>80</v>
      </c>
      <c r="K30" s="433"/>
      <c r="L30" s="433"/>
      <c r="M30" s="434"/>
      <c r="N30" s="21" t="s">
        <v>246</v>
      </c>
      <c r="O30" s="22" t="s">
        <v>246</v>
      </c>
      <c r="P30" s="15" t="s">
        <v>127</v>
      </c>
      <c r="Q30" s="14" t="s">
        <v>244</v>
      </c>
      <c r="R30" s="96" t="s">
        <v>82</v>
      </c>
      <c r="T30" s="5"/>
    </row>
    <row r="31" spans="2:20" ht="15" customHeight="1">
      <c r="B31" s="34" t="s">
        <v>86</v>
      </c>
      <c r="C31" s="59" t="s">
        <v>111</v>
      </c>
      <c r="D31" s="60"/>
      <c r="E31" s="81"/>
      <c r="F31" s="61">
        <f>F29*40%</f>
        <v>395.52</v>
      </c>
      <c r="I31" s="418" t="s">
        <v>56</v>
      </c>
      <c r="J31" s="420">
        <v>1</v>
      </c>
      <c r="K31" s="421"/>
      <c r="L31" s="422"/>
      <c r="M31" s="435">
        <f>J31/(J32*L32)</f>
        <v>1.515152E-4</v>
      </c>
      <c r="N31" s="414">
        <v>16</v>
      </c>
      <c r="O31" s="416" t="s">
        <v>129</v>
      </c>
      <c r="P31" s="406">
        <f>M31*N31*(1/191.4)</f>
        <v>1.27E-5</v>
      </c>
      <c r="Q31" s="408">
        <f>$N$11</f>
        <v>2831.46</v>
      </c>
      <c r="R31" s="408">
        <f>Q31*P31</f>
        <v>0.04</v>
      </c>
      <c r="T31" s="5"/>
    </row>
    <row r="32" spans="2:20" ht="15" customHeight="1">
      <c r="B32" s="34" t="s">
        <v>88</v>
      </c>
      <c r="C32" s="59" t="s">
        <v>112</v>
      </c>
      <c r="D32" s="60"/>
      <c r="E32" s="80"/>
      <c r="F32" s="61">
        <f t="shared" ref="F32:F36" si="0">$F$29*E32</f>
        <v>0</v>
      </c>
      <c r="I32" s="419"/>
      <c r="J32" s="99">
        <v>30</v>
      </c>
      <c r="K32" s="97" t="s">
        <v>242</v>
      </c>
      <c r="L32" s="98">
        <v>220</v>
      </c>
      <c r="M32" s="436"/>
      <c r="N32" s="415"/>
      <c r="O32" s="417"/>
      <c r="P32" s="407"/>
      <c r="Q32" s="409"/>
      <c r="R32" s="409"/>
      <c r="T32" s="5"/>
    </row>
    <row r="33" spans="2:20" ht="15" customHeight="1">
      <c r="B33" s="34" t="s">
        <v>113</v>
      </c>
      <c r="C33" s="59" t="s">
        <v>114</v>
      </c>
      <c r="D33" s="60"/>
      <c r="E33" s="80"/>
      <c r="F33" s="61">
        <f t="shared" si="0"/>
        <v>0</v>
      </c>
      <c r="I33" s="418" t="s">
        <v>255</v>
      </c>
      <c r="J33" s="420">
        <v>1</v>
      </c>
      <c r="K33" s="421"/>
      <c r="L33" s="422"/>
      <c r="M33" s="423">
        <f>J33/J34</f>
        <v>4.5454544999999997E-3</v>
      </c>
      <c r="N33" s="414">
        <v>16</v>
      </c>
      <c r="O33" s="416" t="s">
        <v>129</v>
      </c>
      <c r="P33" s="406">
        <f>M33*N33*(1/191.4)</f>
        <v>3.8000000000000002E-4</v>
      </c>
      <c r="Q33" s="408">
        <f>$N$13</f>
        <v>3830.27</v>
      </c>
      <c r="R33" s="408">
        <f>Q33*P33</f>
        <v>1.46</v>
      </c>
      <c r="T33" s="5"/>
    </row>
    <row r="34" spans="2:20" ht="15" customHeight="1">
      <c r="B34" s="34" t="s">
        <v>116</v>
      </c>
      <c r="C34" s="59" t="s">
        <v>117</v>
      </c>
      <c r="D34" s="60"/>
      <c r="E34" s="80"/>
      <c r="F34" s="61">
        <f t="shared" si="0"/>
        <v>0</v>
      </c>
      <c r="I34" s="419"/>
      <c r="J34" s="410">
        <v>220</v>
      </c>
      <c r="K34" s="404"/>
      <c r="L34" s="405"/>
      <c r="M34" s="424"/>
      <c r="N34" s="415"/>
      <c r="O34" s="417"/>
      <c r="P34" s="407"/>
      <c r="Q34" s="409"/>
      <c r="R34" s="409"/>
      <c r="T34" s="5"/>
    </row>
    <row r="35" spans="2:20" ht="15" customHeight="1">
      <c r="B35" s="34" t="s">
        <v>122</v>
      </c>
      <c r="C35" s="59" t="s">
        <v>123</v>
      </c>
      <c r="D35" s="60"/>
      <c r="E35" s="80"/>
      <c r="F35" s="61">
        <f t="shared" si="0"/>
        <v>0</v>
      </c>
      <c r="I35" s="411" t="s">
        <v>93</v>
      </c>
      <c r="J35" s="412"/>
      <c r="K35" s="412"/>
      <c r="L35" s="412"/>
      <c r="M35" s="412"/>
      <c r="N35" s="412"/>
      <c r="O35" s="412"/>
      <c r="P35" s="412"/>
      <c r="Q35" s="413"/>
      <c r="R35" s="28">
        <f>SUM(R31:R34)</f>
        <v>1.5</v>
      </c>
      <c r="T35" s="5"/>
    </row>
    <row r="36" spans="2:20" ht="15" customHeight="1">
      <c r="B36" s="102" t="s">
        <v>125</v>
      </c>
      <c r="C36" s="290" t="s">
        <v>126</v>
      </c>
      <c r="D36" s="292"/>
      <c r="E36" s="81"/>
      <c r="F36" s="61">
        <f t="shared" si="0"/>
        <v>0</v>
      </c>
      <c r="I36" s="16"/>
      <c r="O36" s="10"/>
      <c r="P36" s="10"/>
      <c r="T36" s="5"/>
    </row>
    <row r="37" spans="2:20" ht="15" customHeight="1">
      <c r="B37" s="293" t="s">
        <v>128</v>
      </c>
      <c r="C37" s="294"/>
      <c r="D37" s="295"/>
      <c r="E37" s="86">
        <f>SUM(E30:E36)</f>
        <v>0</v>
      </c>
      <c r="F37" s="69">
        <f>SUM(F29:F36)</f>
        <v>1384.32</v>
      </c>
      <c r="I37" s="293" t="s">
        <v>137</v>
      </c>
      <c r="J37" s="294"/>
      <c r="K37" s="294"/>
      <c r="L37" s="294"/>
      <c r="M37" s="294"/>
      <c r="N37" s="294"/>
      <c r="O37" s="294"/>
      <c r="P37" s="295"/>
      <c r="T37" s="5"/>
    </row>
    <row r="38" spans="2:20" ht="15" customHeight="1">
      <c r="I38" s="400" t="s">
        <v>139</v>
      </c>
      <c r="J38" s="401"/>
      <c r="K38" s="401"/>
      <c r="L38" s="401"/>
      <c r="M38" s="402"/>
      <c r="N38" s="95" t="s">
        <v>250</v>
      </c>
      <c r="O38" s="24" t="s">
        <v>140</v>
      </c>
      <c r="P38" s="95" t="s">
        <v>77</v>
      </c>
      <c r="T38" s="5"/>
    </row>
    <row r="39" spans="2:20" ht="15" customHeight="1">
      <c r="B39" s="362" t="s">
        <v>130</v>
      </c>
      <c r="C39" s="362"/>
      <c r="D39" s="362" t="s">
        <v>131</v>
      </c>
      <c r="E39" s="362"/>
      <c r="F39" s="362"/>
      <c r="I39" s="403"/>
      <c r="J39" s="404"/>
      <c r="K39" s="404"/>
      <c r="L39" s="404"/>
      <c r="M39" s="405"/>
      <c r="N39" s="96" t="s">
        <v>249</v>
      </c>
      <c r="O39" s="25" t="s">
        <v>142</v>
      </c>
      <c r="P39" s="96" t="s">
        <v>81</v>
      </c>
      <c r="T39" s="5"/>
    </row>
    <row r="40" spans="2:20" ht="15" customHeight="1">
      <c r="B40" s="101">
        <v>2</v>
      </c>
      <c r="C40" s="362" t="s">
        <v>132</v>
      </c>
      <c r="D40" s="362"/>
      <c r="E40" s="362"/>
      <c r="F40" s="68" t="s">
        <v>108</v>
      </c>
      <c r="I40" s="300" t="s">
        <v>144</v>
      </c>
      <c r="J40" s="301"/>
      <c r="K40" s="301"/>
      <c r="L40" s="301"/>
      <c r="M40" s="302"/>
      <c r="N40" s="27">
        <f>$O$15</f>
        <v>3.27</v>
      </c>
      <c r="O40" s="26">
        <v>6000</v>
      </c>
      <c r="P40" s="27">
        <f>O40*N40</f>
        <v>19620</v>
      </c>
      <c r="T40" s="5"/>
    </row>
    <row r="41" spans="2:20" ht="15" customHeight="1">
      <c r="B41" s="102" t="s">
        <v>78</v>
      </c>
      <c r="C41" s="290" t="s">
        <v>277</v>
      </c>
      <c r="D41" s="291"/>
      <c r="E41" s="292"/>
      <c r="F41" s="33">
        <f>(2*2*26)-(0.06*F29)</f>
        <v>44.67</v>
      </c>
      <c r="I41" s="300" t="s">
        <v>147</v>
      </c>
      <c r="J41" s="301"/>
      <c r="K41" s="301"/>
      <c r="L41" s="301"/>
      <c r="M41" s="302"/>
      <c r="N41" s="27">
        <f>$O$25</f>
        <v>1.97</v>
      </c>
      <c r="O41" s="26">
        <v>8000</v>
      </c>
      <c r="P41" s="27">
        <f t="shared" ref="P41:P42" si="1">O41*N41</f>
        <v>15760</v>
      </c>
      <c r="T41" s="5"/>
    </row>
    <row r="42" spans="2:20" ht="15" customHeight="1">
      <c r="B42" s="102" t="s">
        <v>83</v>
      </c>
      <c r="C42" s="393" t="s">
        <v>134</v>
      </c>
      <c r="D42" s="393"/>
      <c r="E42" s="393"/>
      <c r="F42" s="33">
        <f>JARDINEIRO!F42</f>
        <v>116.18</v>
      </c>
      <c r="I42" s="394" t="s">
        <v>150</v>
      </c>
      <c r="J42" s="395"/>
      <c r="K42" s="395"/>
      <c r="L42" s="395"/>
      <c r="M42" s="396"/>
      <c r="N42" s="27">
        <f>$R$35</f>
        <v>1.5</v>
      </c>
      <c r="O42" s="26">
        <v>440</v>
      </c>
      <c r="P42" s="27">
        <f t="shared" si="1"/>
        <v>660</v>
      </c>
      <c r="T42" s="5"/>
    </row>
    <row r="43" spans="2:20" ht="15" customHeight="1">
      <c r="B43" s="34" t="s">
        <v>86</v>
      </c>
      <c r="C43" s="382" t="s">
        <v>135</v>
      </c>
      <c r="D43" s="382"/>
      <c r="E43" s="382"/>
      <c r="F43" s="33">
        <f>JARDINEIRO!F43</f>
        <v>90</v>
      </c>
      <c r="I43" s="397" t="s">
        <v>93</v>
      </c>
      <c r="J43" s="398"/>
      <c r="K43" s="398"/>
      <c r="L43" s="398"/>
      <c r="M43" s="398"/>
      <c r="N43" s="398"/>
      <c r="O43" s="399"/>
      <c r="P43" s="29">
        <f>SUM(P40:P42)</f>
        <v>36040</v>
      </c>
      <c r="T43" s="5"/>
    </row>
    <row r="44" spans="2:20" ht="15" customHeight="1">
      <c r="B44" s="34" t="s">
        <v>88</v>
      </c>
      <c r="C44" s="382" t="s">
        <v>136</v>
      </c>
      <c r="D44" s="382"/>
      <c r="E44" s="382"/>
      <c r="F44" s="33">
        <f>JARDINEIRO!F44</f>
        <v>10</v>
      </c>
      <c r="I44" s="16"/>
      <c r="O44" s="10"/>
      <c r="P44" s="10"/>
      <c r="T44" s="5"/>
    </row>
    <row r="45" spans="2:20" ht="15" customHeight="1">
      <c r="B45" s="34" t="s">
        <v>113</v>
      </c>
      <c r="C45" s="382" t="s">
        <v>138</v>
      </c>
      <c r="D45" s="382"/>
      <c r="E45" s="382"/>
      <c r="F45" s="33">
        <f>JARDINEIRO!F45</f>
        <v>9</v>
      </c>
      <c r="I45" s="383" t="s">
        <v>151</v>
      </c>
      <c r="J45" s="384"/>
      <c r="K45" s="384"/>
      <c r="L45" s="384"/>
      <c r="M45" s="385"/>
      <c r="N45" s="389" t="s">
        <v>152</v>
      </c>
      <c r="O45" s="391" t="s">
        <v>251</v>
      </c>
      <c r="P45" s="10"/>
      <c r="T45" s="5"/>
    </row>
    <row r="46" spans="2:20" ht="15" customHeight="1">
      <c r="B46" s="102" t="s">
        <v>116</v>
      </c>
      <c r="C46" s="382" t="s">
        <v>278</v>
      </c>
      <c r="D46" s="382"/>
      <c r="E46" s="382"/>
      <c r="F46" s="33">
        <f>JARDINEIRO!F46</f>
        <v>0</v>
      </c>
      <c r="I46" s="386"/>
      <c r="J46" s="387"/>
      <c r="K46" s="387"/>
      <c r="L46" s="387"/>
      <c r="M46" s="388"/>
      <c r="N46" s="390"/>
      <c r="O46" s="392"/>
      <c r="P46" s="10"/>
      <c r="T46" s="5"/>
    </row>
    <row r="47" spans="2:20" ht="15" customHeight="1">
      <c r="B47" s="362" t="s">
        <v>143</v>
      </c>
      <c r="C47" s="362"/>
      <c r="D47" s="362"/>
      <c r="E47" s="362"/>
      <c r="F47" s="69">
        <f>SUM(F41:F46)</f>
        <v>269.85000000000002</v>
      </c>
      <c r="I47" s="363" t="s">
        <v>253</v>
      </c>
      <c r="J47" s="364"/>
      <c r="K47" s="364"/>
      <c r="L47" s="364"/>
      <c r="M47" s="365"/>
      <c r="N47" s="369">
        <v>60</v>
      </c>
      <c r="O47" s="371">
        <f>$P$43*N47</f>
        <v>2162400</v>
      </c>
      <c r="P47" s="10"/>
      <c r="T47" s="5"/>
    </row>
    <row r="48" spans="2:20" ht="27.75" customHeight="1">
      <c r="B48" s="34" t="s">
        <v>145</v>
      </c>
      <c r="C48" s="309" t="s">
        <v>146</v>
      </c>
      <c r="D48" s="310"/>
      <c r="E48" s="310"/>
      <c r="F48" s="311"/>
      <c r="I48" s="366"/>
      <c r="J48" s="367"/>
      <c r="K48" s="367"/>
      <c r="L48" s="367"/>
      <c r="M48" s="368"/>
      <c r="N48" s="370"/>
      <c r="O48" s="372"/>
      <c r="P48" s="10"/>
      <c r="T48" s="5"/>
    </row>
    <row r="49" spans="2:20" ht="35.25" customHeight="1">
      <c r="B49" s="317" t="s">
        <v>148</v>
      </c>
      <c r="C49" s="373" t="s">
        <v>149</v>
      </c>
      <c r="D49" s="374"/>
      <c r="E49" s="374"/>
      <c r="F49" s="375"/>
      <c r="I49" s="363" t="s">
        <v>252</v>
      </c>
      <c r="J49" s="364"/>
      <c r="K49" s="364"/>
      <c r="L49" s="364"/>
      <c r="M49" s="365"/>
      <c r="N49" s="369">
        <v>12</v>
      </c>
      <c r="O49" s="371">
        <f>$P$43*N49</f>
        <v>432480</v>
      </c>
      <c r="P49" s="10"/>
      <c r="T49" s="5"/>
    </row>
    <row r="50" spans="2:20" ht="11.25" customHeight="1">
      <c r="B50" s="318"/>
      <c r="C50" s="376"/>
      <c r="D50" s="377"/>
      <c r="E50" s="377"/>
      <c r="F50" s="378"/>
      <c r="I50" s="366"/>
      <c r="J50" s="367"/>
      <c r="K50" s="367"/>
      <c r="L50" s="367"/>
      <c r="M50" s="368"/>
      <c r="N50" s="370"/>
      <c r="O50" s="372"/>
      <c r="P50" s="10"/>
      <c r="T50" s="5"/>
    </row>
    <row r="51" spans="2:20" ht="21.75" customHeight="1">
      <c r="B51" s="318"/>
      <c r="C51" s="376"/>
      <c r="D51" s="377"/>
      <c r="E51" s="377"/>
      <c r="F51" s="378"/>
      <c r="I51" s="16"/>
      <c r="O51" s="10"/>
      <c r="P51" s="10"/>
      <c r="T51" s="5"/>
    </row>
    <row r="52" spans="2:20" ht="20.25" customHeight="1">
      <c r="B52" s="319"/>
      <c r="C52" s="379"/>
      <c r="D52" s="380"/>
      <c r="E52" s="380"/>
      <c r="F52" s="381"/>
      <c r="I52" s="16"/>
      <c r="O52" s="10"/>
      <c r="P52" s="10"/>
      <c r="T52" s="5"/>
    </row>
    <row r="53" spans="2:20" ht="15" customHeight="1">
      <c r="I53" s="16"/>
      <c r="O53" s="10"/>
      <c r="P53" s="10"/>
      <c r="T53" s="5"/>
    </row>
    <row r="54" spans="2:20" ht="15" customHeight="1">
      <c r="B54" s="293" t="s">
        <v>153</v>
      </c>
      <c r="C54" s="295"/>
      <c r="D54" s="293" t="s">
        <v>154</v>
      </c>
      <c r="E54" s="294"/>
      <c r="F54" s="295"/>
      <c r="I54" s="16"/>
      <c r="O54" s="10"/>
      <c r="P54" s="10"/>
      <c r="T54" s="5"/>
    </row>
    <row r="55" spans="2:20" ht="15" customHeight="1">
      <c r="B55" s="101">
        <v>3</v>
      </c>
      <c r="C55" s="293" t="s">
        <v>155</v>
      </c>
      <c r="D55" s="294"/>
      <c r="E55" s="295"/>
      <c r="F55" s="68" t="s">
        <v>108</v>
      </c>
      <c r="I55" s="16"/>
      <c r="O55" s="10"/>
      <c r="P55" s="10"/>
      <c r="T55" s="5"/>
    </row>
    <row r="56" spans="2:20" ht="15" customHeight="1">
      <c r="B56" s="34" t="s">
        <v>78</v>
      </c>
      <c r="C56" s="359" t="s">
        <v>156</v>
      </c>
      <c r="D56" s="360"/>
      <c r="E56" s="361"/>
      <c r="F56" s="125">
        <v>12</v>
      </c>
      <c r="I56" s="16"/>
      <c r="O56" s="10"/>
      <c r="P56" s="10"/>
      <c r="T56" s="5"/>
    </row>
    <row r="57" spans="2:20" ht="15" customHeight="1">
      <c r="B57" s="34" t="s">
        <v>83</v>
      </c>
      <c r="C57" s="359" t="s">
        <v>157</v>
      </c>
      <c r="D57" s="360"/>
      <c r="E57" s="361"/>
      <c r="F57" s="125">
        <v>544.71</v>
      </c>
      <c r="I57" s="16"/>
      <c r="O57" s="10"/>
      <c r="P57" s="10"/>
      <c r="T57" s="5"/>
    </row>
    <row r="58" spans="2:20" ht="15" customHeight="1">
      <c r="B58" s="34" t="s">
        <v>86</v>
      </c>
      <c r="C58" s="290" t="s">
        <v>158</v>
      </c>
      <c r="D58" s="291"/>
      <c r="E58" s="292"/>
      <c r="F58" s="35">
        <v>0</v>
      </c>
      <c r="I58" s="16"/>
      <c r="O58" s="10"/>
      <c r="P58" s="10"/>
      <c r="T58" s="5"/>
    </row>
    <row r="59" spans="2:20" ht="15" customHeight="1">
      <c r="B59" s="102" t="s">
        <v>88</v>
      </c>
      <c r="C59" s="322" t="s">
        <v>259</v>
      </c>
      <c r="D59" s="328"/>
      <c r="E59" s="323"/>
      <c r="F59" s="36">
        <f>F58*-0.8</f>
        <v>0</v>
      </c>
      <c r="I59" s="16"/>
      <c r="O59" s="10"/>
      <c r="P59" s="10"/>
      <c r="T59" s="5"/>
    </row>
    <row r="60" spans="2:20" ht="15" customHeight="1">
      <c r="B60" s="293" t="s">
        <v>159</v>
      </c>
      <c r="C60" s="294"/>
      <c r="D60" s="294"/>
      <c r="E60" s="295"/>
      <c r="F60" s="69">
        <f>SUM(F56:F59)</f>
        <v>556.71</v>
      </c>
      <c r="I60" s="16"/>
      <c r="O60" s="10"/>
      <c r="P60" s="10"/>
      <c r="T60" s="5"/>
    </row>
    <row r="61" spans="2:20" ht="15" customHeight="1">
      <c r="B61" s="37" t="s">
        <v>103</v>
      </c>
      <c r="C61" s="306" t="s">
        <v>160</v>
      </c>
      <c r="D61" s="307"/>
      <c r="E61" s="307"/>
      <c r="F61" s="308"/>
      <c r="I61" s="16"/>
      <c r="O61" s="10"/>
      <c r="P61" s="10"/>
      <c r="T61" s="5"/>
    </row>
    <row r="62" spans="2:20" ht="15" customHeight="1">
      <c r="I62" s="16"/>
      <c r="O62" s="10"/>
      <c r="P62" s="10"/>
      <c r="T62" s="5"/>
    </row>
    <row r="63" spans="2:20" ht="15" customHeight="1">
      <c r="B63" s="293" t="s">
        <v>161</v>
      </c>
      <c r="C63" s="295"/>
      <c r="D63" s="293" t="s">
        <v>162</v>
      </c>
      <c r="E63" s="294"/>
      <c r="F63" s="295"/>
      <c r="I63" s="16"/>
      <c r="O63" s="10"/>
      <c r="P63" s="10"/>
      <c r="T63" s="5"/>
    </row>
    <row r="64" spans="2:20" ht="15" customHeight="1">
      <c r="B64" s="293" t="s">
        <v>163</v>
      </c>
      <c r="C64" s="295"/>
      <c r="D64" s="293" t="s">
        <v>164</v>
      </c>
      <c r="E64" s="294"/>
      <c r="F64" s="295"/>
      <c r="I64" s="16"/>
      <c r="O64" s="10"/>
      <c r="P64" s="10"/>
      <c r="T64" s="5"/>
    </row>
    <row r="65" spans="2:20" ht="15" customHeight="1">
      <c r="B65" s="101" t="s">
        <v>165</v>
      </c>
      <c r="C65" s="293" t="s">
        <v>164</v>
      </c>
      <c r="D65" s="295"/>
      <c r="E65" s="87" t="s">
        <v>166</v>
      </c>
      <c r="F65" s="68" t="s">
        <v>108</v>
      </c>
      <c r="O65" s="10"/>
      <c r="P65" s="10"/>
      <c r="R65" s="5"/>
      <c r="T65" s="5"/>
    </row>
    <row r="66" spans="2:20" ht="15" customHeight="1">
      <c r="B66" s="34" t="s">
        <v>78</v>
      </c>
      <c r="C66" s="290" t="s">
        <v>167</v>
      </c>
      <c r="D66" s="292"/>
      <c r="E66" s="80">
        <v>0.2</v>
      </c>
      <c r="F66" s="38">
        <f>E66*$F$37</f>
        <v>276.86</v>
      </c>
      <c r="O66" s="10"/>
      <c r="P66" s="10"/>
      <c r="R66" s="5"/>
      <c r="T66" s="5"/>
    </row>
    <row r="67" spans="2:20" ht="15" customHeight="1">
      <c r="B67" s="34" t="s">
        <v>83</v>
      </c>
      <c r="C67" s="290" t="s">
        <v>168</v>
      </c>
      <c r="D67" s="292"/>
      <c r="E67" s="80">
        <v>1.4999999999999999E-2</v>
      </c>
      <c r="F67" s="38">
        <f>E67*$F$37</f>
        <v>20.76</v>
      </c>
      <c r="O67" s="10"/>
      <c r="P67" s="23"/>
      <c r="Q67" s="23"/>
      <c r="R67" s="5"/>
      <c r="T67" s="5"/>
    </row>
    <row r="68" spans="2:20" ht="15" customHeight="1">
      <c r="B68" s="34" t="s">
        <v>86</v>
      </c>
      <c r="C68" s="290" t="s">
        <v>169</v>
      </c>
      <c r="D68" s="292"/>
      <c r="E68" s="80">
        <v>0.01</v>
      </c>
      <c r="F68" s="38">
        <f>E68*$F$37</f>
        <v>13.84</v>
      </c>
      <c r="O68" s="10"/>
      <c r="P68" s="10"/>
      <c r="R68" s="5"/>
      <c r="T68" s="5"/>
    </row>
    <row r="69" spans="2:20" ht="15" customHeight="1">
      <c r="B69" s="34" t="s">
        <v>88</v>
      </c>
      <c r="C69" s="290" t="s">
        <v>170</v>
      </c>
      <c r="D69" s="292"/>
      <c r="E69" s="80">
        <v>2E-3</v>
      </c>
      <c r="F69" s="38">
        <f t="shared" ref="F69:F73" si="2">E69*$F$37</f>
        <v>2.77</v>
      </c>
      <c r="O69" s="10"/>
      <c r="P69" s="10"/>
      <c r="R69" s="5"/>
      <c r="T69" s="5"/>
    </row>
    <row r="70" spans="2:20" ht="15" customHeight="1">
      <c r="B70" s="34" t="s">
        <v>113</v>
      </c>
      <c r="C70" s="290" t="s">
        <v>171</v>
      </c>
      <c r="D70" s="292"/>
      <c r="E70" s="80">
        <v>2.5000000000000001E-2</v>
      </c>
      <c r="F70" s="38">
        <f t="shared" si="2"/>
        <v>34.61</v>
      </c>
      <c r="O70" s="10"/>
      <c r="P70" s="10"/>
      <c r="R70" s="5"/>
      <c r="T70" s="5"/>
    </row>
    <row r="71" spans="2:20" ht="15" customHeight="1">
      <c r="B71" s="34" t="s">
        <v>116</v>
      </c>
      <c r="C71" s="290" t="s">
        <v>172</v>
      </c>
      <c r="D71" s="292"/>
      <c r="E71" s="80">
        <v>0.08</v>
      </c>
      <c r="F71" s="38">
        <f t="shared" si="2"/>
        <v>110.75</v>
      </c>
      <c r="O71" s="10"/>
      <c r="P71" s="10"/>
      <c r="R71" s="5"/>
      <c r="T71" s="5"/>
    </row>
    <row r="72" spans="2:20" ht="15" customHeight="1">
      <c r="B72" s="34" t="s">
        <v>122</v>
      </c>
      <c r="C72" s="290" t="s">
        <v>261</v>
      </c>
      <c r="D72" s="292"/>
      <c r="E72" s="80">
        <v>2.3199999999999998E-2</v>
      </c>
      <c r="F72" s="38">
        <f t="shared" si="2"/>
        <v>32.119999999999997</v>
      </c>
      <c r="O72" s="10"/>
      <c r="P72" s="10"/>
      <c r="R72" s="5"/>
      <c r="T72" s="5"/>
    </row>
    <row r="73" spans="2:20" ht="15" customHeight="1">
      <c r="B73" s="34" t="s">
        <v>125</v>
      </c>
      <c r="C73" s="290" t="s">
        <v>174</v>
      </c>
      <c r="D73" s="292"/>
      <c r="E73" s="80">
        <v>6.0000000000000001E-3</v>
      </c>
      <c r="F73" s="38">
        <f t="shared" si="2"/>
        <v>8.31</v>
      </c>
      <c r="O73" s="10"/>
      <c r="P73" s="10"/>
      <c r="R73" s="5"/>
      <c r="T73" s="5"/>
    </row>
    <row r="74" spans="2:20" ht="15" customHeight="1">
      <c r="B74" s="293" t="s">
        <v>57</v>
      </c>
      <c r="C74" s="294"/>
      <c r="D74" s="295"/>
      <c r="E74" s="79">
        <f>SUM(E66:E73)</f>
        <v>0.36120000000000002</v>
      </c>
      <c r="F74" s="69">
        <f>SUM(F66:F73)</f>
        <v>500.02</v>
      </c>
      <c r="O74" s="10"/>
      <c r="P74" s="10"/>
      <c r="R74" s="5"/>
      <c r="T74" s="5"/>
    </row>
    <row r="75" spans="2:20" ht="15" customHeight="1">
      <c r="B75" s="39" t="s">
        <v>145</v>
      </c>
      <c r="C75" s="309" t="s">
        <v>175</v>
      </c>
      <c r="D75" s="310"/>
      <c r="E75" s="310"/>
      <c r="F75" s="311"/>
      <c r="O75" s="10"/>
      <c r="P75" s="10"/>
      <c r="R75" s="5"/>
      <c r="T75" s="5"/>
    </row>
    <row r="76" spans="2:20" ht="15" customHeight="1">
      <c r="B76" s="39" t="s">
        <v>148</v>
      </c>
      <c r="C76" s="331" t="s">
        <v>176</v>
      </c>
      <c r="D76" s="332"/>
      <c r="E76" s="332"/>
      <c r="F76" s="333"/>
      <c r="O76" s="10"/>
      <c r="P76" s="10"/>
      <c r="R76" s="5"/>
      <c r="T76" s="5"/>
    </row>
    <row r="77" spans="2:20" ht="15" customHeight="1">
      <c r="O77" s="10"/>
      <c r="P77" s="10"/>
      <c r="R77" s="5"/>
      <c r="T77" s="5"/>
    </row>
    <row r="78" spans="2:20" ht="15" customHeight="1">
      <c r="B78" s="293" t="s">
        <v>177</v>
      </c>
      <c r="C78" s="295"/>
      <c r="D78" s="293" t="s">
        <v>178</v>
      </c>
      <c r="E78" s="294"/>
      <c r="F78" s="295"/>
      <c r="H78" s="63"/>
      <c r="I78" s="16"/>
      <c r="O78" s="10"/>
      <c r="P78" s="10"/>
      <c r="T78" s="5"/>
    </row>
    <row r="79" spans="2:20" ht="15" customHeight="1">
      <c r="B79" s="101" t="s">
        <v>179</v>
      </c>
      <c r="C79" s="293" t="s">
        <v>180</v>
      </c>
      <c r="D79" s="295"/>
      <c r="E79" s="87" t="s">
        <v>166</v>
      </c>
      <c r="F79" s="68" t="s">
        <v>108</v>
      </c>
      <c r="I79" s="16"/>
      <c r="O79" s="10"/>
      <c r="P79" s="10"/>
      <c r="T79" s="5"/>
    </row>
    <row r="80" spans="2:20" ht="15" customHeight="1">
      <c r="B80" s="34" t="s">
        <v>78</v>
      </c>
      <c r="C80" s="290" t="s">
        <v>181</v>
      </c>
      <c r="D80" s="292"/>
      <c r="E80" s="80">
        <v>8.3330000000000001E-2</v>
      </c>
      <c r="F80" s="38">
        <f t="shared" ref="F80:F81" si="3">E80*$F$37</f>
        <v>115.36</v>
      </c>
      <c r="I80" s="16"/>
      <c r="O80" s="10"/>
      <c r="P80" s="10"/>
      <c r="T80" s="5"/>
    </row>
    <row r="81" spans="2:20" ht="15" customHeight="1">
      <c r="B81" s="64" t="s">
        <v>83</v>
      </c>
      <c r="C81" s="329" t="s">
        <v>182</v>
      </c>
      <c r="D81" s="330"/>
      <c r="E81" s="82">
        <v>2.7779999999999999E-2</v>
      </c>
      <c r="F81" s="38">
        <f t="shared" si="3"/>
        <v>38.46</v>
      </c>
      <c r="I81" s="16"/>
      <c r="O81" s="10"/>
      <c r="P81" s="10"/>
      <c r="T81" s="5"/>
    </row>
    <row r="82" spans="2:20" ht="15" customHeight="1">
      <c r="B82" s="293" t="s">
        <v>183</v>
      </c>
      <c r="C82" s="294"/>
      <c r="D82" s="295"/>
      <c r="E82" s="83">
        <f>SUM(E80:E81)</f>
        <v>0.11111</v>
      </c>
      <c r="F82" s="70">
        <f>SUM(F80:F81)</f>
        <v>153.82</v>
      </c>
      <c r="I82" s="16"/>
      <c r="O82" s="10"/>
      <c r="P82" s="10"/>
      <c r="T82" s="5"/>
    </row>
    <row r="83" spans="2:20" s="63" customFormat="1" ht="15" customHeight="1">
      <c r="B83" s="102" t="s">
        <v>86</v>
      </c>
      <c r="C83" s="322" t="s">
        <v>184</v>
      </c>
      <c r="D83" s="323"/>
      <c r="E83" s="88">
        <f>E74*E82</f>
        <v>4.0129999999999999E-2</v>
      </c>
      <c r="F83" s="94">
        <f>F82*E74</f>
        <v>55.56</v>
      </c>
      <c r="H83" s="5"/>
      <c r="I83" s="16"/>
      <c r="J83" s="23"/>
      <c r="K83" s="23"/>
      <c r="L83" s="23"/>
      <c r="M83" s="23"/>
      <c r="N83" s="23"/>
      <c r="O83" s="23"/>
      <c r="P83" s="23"/>
      <c r="Q83" s="10"/>
      <c r="R83" s="10"/>
    </row>
    <row r="84" spans="2:20" ht="15" customHeight="1">
      <c r="B84" s="293" t="s">
        <v>57</v>
      </c>
      <c r="C84" s="294"/>
      <c r="D84" s="295"/>
      <c r="E84" s="79">
        <f>SUM(E82:E83)</f>
        <v>0.15124000000000001</v>
      </c>
      <c r="F84" s="71">
        <f>SUM(F82:F83)</f>
        <v>209.38</v>
      </c>
      <c r="I84" s="16"/>
      <c r="O84" s="10"/>
      <c r="P84" s="10"/>
      <c r="T84" s="5"/>
    </row>
    <row r="85" spans="2:20" ht="15" customHeight="1">
      <c r="I85" s="16"/>
      <c r="O85" s="10"/>
      <c r="P85" s="10"/>
      <c r="T85" s="5"/>
    </row>
    <row r="86" spans="2:20" ht="15" customHeight="1">
      <c r="B86" s="293" t="s">
        <v>185</v>
      </c>
      <c r="C86" s="295"/>
      <c r="D86" s="293" t="s">
        <v>186</v>
      </c>
      <c r="E86" s="294"/>
      <c r="F86" s="295"/>
      <c r="I86" s="16"/>
      <c r="O86" s="10"/>
      <c r="P86" s="10"/>
      <c r="T86" s="5"/>
    </row>
    <row r="87" spans="2:20" ht="15" customHeight="1">
      <c r="B87" s="101" t="s">
        <v>187</v>
      </c>
      <c r="C87" s="293" t="s">
        <v>186</v>
      </c>
      <c r="D87" s="295"/>
      <c r="E87" s="87" t="s">
        <v>166</v>
      </c>
      <c r="F87" s="68" t="s">
        <v>108</v>
      </c>
      <c r="I87" s="16"/>
      <c r="O87" s="10"/>
      <c r="P87" s="10"/>
      <c r="T87" s="5"/>
    </row>
    <row r="88" spans="2:20" ht="15" customHeight="1">
      <c r="B88" s="117" t="s">
        <v>78</v>
      </c>
      <c r="C88" s="334" t="s">
        <v>186</v>
      </c>
      <c r="D88" s="336"/>
      <c r="E88" s="126">
        <v>2.8700000000000002E-3</v>
      </c>
      <c r="F88" s="38">
        <f t="shared" ref="F88" si="4">E88*$F$37</f>
        <v>3.97</v>
      </c>
      <c r="I88" s="16"/>
      <c r="O88" s="10"/>
      <c r="P88" s="10"/>
      <c r="T88" s="5"/>
    </row>
    <row r="89" spans="2:20" ht="15" customHeight="1">
      <c r="B89" s="102" t="s">
        <v>83</v>
      </c>
      <c r="C89" s="322" t="s">
        <v>188</v>
      </c>
      <c r="D89" s="323"/>
      <c r="E89" s="88">
        <f>E74*E88</f>
        <v>1.0399999999999999E-3</v>
      </c>
      <c r="F89" s="94">
        <f>F88*E74</f>
        <v>1.43</v>
      </c>
      <c r="I89" s="16"/>
      <c r="O89" s="10"/>
      <c r="P89" s="10"/>
      <c r="T89" s="5"/>
    </row>
    <row r="90" spans="2:20" ht="15" customHeight="1">
      <c r="B90" s="293" t="s">
        <v>57</v>
      </c>
      <c r="C90" s="294"/>
      <c r="D90" s="295"/>
      <c r="E90" s="89">
        <f>SUM(E88:E89)</f>
        <v>3.9100000000000003E-3</v>
      </c>
      <c r="F90" s="69">
        <f>SUM(F88:F89)</f>
        <v>5.4</v>
      </c>
      <c r="I90" s="16"/>
      <c r="O90" s="10"/>
      <c r="P90" s="10"/>
      <c r="T90" s="5"/>
    </row>
    <row r="91" spans="2:20" ht="15" customHeight="1">
      <c r="I91" s="16"/>
      <c r="O91" s="10"/>
      <c r="P91" s="10"/>
      <c r="T91" s="5"/>
    </row>
    <row r="92" spans="2:20" ht="15" customHeight="1">
      <c r="B92" s="293" t="s">
        <v>189</v>
      </c>
      <c r="C92" s="295"/>
      <c r="D92" s="293" t="s">
        <v>190</v>
      </c>
      <c r="E92" s="294"/>
      <c r="F92" s="295"/>
      <c r="I92" s="16"/>
      <c r="O92" s="10"/>
      <c r="P92" s="10"/>
      <c r="T92" s="5"/>
    </row>
    <row r="93" spans="2:20" ht="15" customHeight="1">
      <c r="B93" s="101" t="s">
        <v>191</v>
      </c>
      <c r="C93" s="293" t="s">
        <v>190</v>
      </c>
      <c r="D93" s="295"/>
      <c r="E93" s="87" t="s">
        <v>166</v>
      </c>
      <c r="F93" s="68" t="s">
        <v>108</v>
      </c>
      <c r="I93" s="16"/>
      <c r="O93" s="10"/>
      <c r="P93" s="10"/>
      <c r="T93" s="5"/>
    </row>
    <row r="94" spans="2:20" ht="15" customHeight="1">
      <c r="B94" s="34" t="s">
        <v>78</v>
      </c>
      <c r="C94" s="290" t="s">
        <v>192</v>
      </c>
      <c r="D94" s="292"/>
      <c r="E94" s="78">
        <v>4.1700000000000001E-3</v>
      </c>
      <c r="F94" s="38">
        <f t="shared" ref="F94" si="5">E94*$F$37</f>
        <v>5.77</v>
      </c>
      <c r="I94" s="16"/>
      <c r="O94" s="10"/>
      <c r="P94" s="10"/>
      <c r="T94" s="5"/>
    </row>
    <row r="95" spans="2:20" ht="15" customHeight="1">
      <c r="B95" s="34" t="s">
        <v>83</v>
      </c>
      <c r="C95" s="326" t="s">
        <v>193</v>
      </c>
      <c r="D95" s="327"/>
      <c r="E95" s="78">
        <f>E94*E71</f>
        <v>3.3E-4</v>
      </c>
      <c r="F95" s="38">
        <f>F94*E71</f>
        <v>0.46</v>
      </c>
      <c r="I95" s="16"/>
      <c r="O95" s="10"/>
      <c r="P95" s="10"/>
      <c r="T95" s="5"/>
    </row>
    <row r="96" spans="2:20" ht="15" customHeight="1">
      <c r="B96" s="34" t="s">
        <v>86</v>
      </c>
      <c r="C96" s="290" t="s">
        <v>194</v>
      </c>
      <c r="D96" s="292"/>
      <c r="E96" s="78">
        <v>3.2000000000000001E-2</v>
      </c>
      <c r="F96" s="38">
        <f t="shared" ref="F96:F97" si="6">E96*$F$37</f>
        <v>44.3</v>
      </c>
      <c r="I96" s="16"/>
      <c r="O96" s="10"/>
      <c r="P96" s="10"/>
      <c r="T96" s="5"/>
    </row>
    <row r="97" spans="2:20" ht="15" customHeight="1">
      <c r="B97" s="34" t="s">
        <v>88</v>
      </c>
      <c r="C97" s="290" t="s">
        <v>195</v>
      </c>
      <c r="D97" s="292"/>
      <c r="E97" s="78">
        <v>1.9439999999999999E-2</v>
      </c>
      <c r="F97" s="38">
        <f t="shared" si="6"/>
        <v>26.91</v>
      </c>
      <c r="I97" s="16"/>
      <c r="O97" s="10"/>
      <c r="P97" s="10"/>
      <c r="T97" s="5"/>
    </row>
    <row r="98" spans="2:20" ht="15" customHeight="1">
      <c r="B98" s="34" t="s">
        <v>113</v>
      </c>
      <c r="C98" s="326" t="s">
        <v>196</v>
      </c>
      <c r="D98" s="327"/>
      <c r="E98" s="78">
        <f>E97*E74</f>
        <v>7.0200000000000002E-3</v>
      </c>
      <c r="F98" s="94">
        <f>F97*E74</f>
        <v>9.7200000000000006</v>
      </c>
      <c r="I98" s="16"/>
      <c r="O98" s="10"/>
      <c r="P98" s="10"/>
      <c r="T98" s="5"/>
    </row>
    <row r="99" spans="2:20" ht="15" customHeight="1">
      <c r="B99" s="102" t="s">
        <v>88</v>
      </c>
      <c r="C99" s="290" t="s">
        <v>197</v>
      </c>
      <c r="D99" s="292"/>
      <c r="E99" s="78">
        <v>8.0000000000000002E-3</v>
      </c>
      <c r="F99" s="38">
        <f t="shared" ref="F99" si="7">E99*$F$37</f>
        <v>11.07</v>
      </c>
      <c r="I99" s="16"/>
      <c r="O99" s="10"/>
      <c r="P99" s="10"/>
      <c r="T99" s="5"/>
    </row>
    <row r="100" spans="2:20" ht="15" customHeight="1">
      <c r="B100" s="293" t="s">
        <v>57</v>
      </c>
      <c r="C100" s="294"/>
      <c r="D100" s="295"/>
      <c r="E100" s="79">
        <f>SUM(E94:E99)</f>
        <v>7.0959999999999995E-2</v>
      </c>
      <c r="F100" s="69">
        <f>SUM(F94:F99)</f>
        <v>98.23</v>
      </c>
      <c r="I100" s="16"/>
      <c r="O100" s="10"/>
      <c r="P100" s="10"/>
      <c r="T100" s="5"/>
    </row>
    <row r="101" spans="2:20" ht="27" customHeight="1">
      <c r="B101" s="32" t="s">
        <v>145</v>
      </c>
      <c r="C101" s="322" t="s">
        <v>198</v>
      </c>
      <c r="D101" s="328"/>
      <c r="E101" s="328"/>
      <c r="F101" s="323"/>
      <c r="I101" s="16"/>
      <c r="O101" s="10"/>
      <c r="P101" s="10"/>
      <c r="T101" s="5"/>
    </row>
    <row r="102" spans="2:20" ht="24.75" customHeight="1">
      <c r="B102" s="32" t="s">
        <v>148</v>
      </c>
      <c r="C102" s="322" t="s">
        <v>199</v>
      </c>
      <c r="D102" s="328"/>
      <c r="E102" s="328"/>
      <c r="F102" s="323"/>
      <c r="I102" s="16"/>
      <c r="O102" s="10"/>
      <c r="P102" s="10"/>
      <c r="T102" s="5"/>
    </row>
    <row r="103" spans="2:20" ht="15" customHeight="1">
      <c r="I103" s="16"/>
      <c r="O103" s="10"/>
      <c r="P103" s="10"/>
      <c r="T103" s="5"/>
    </row>
    <row r="104" spans="2:20" ht="15" customHeight="1">
      <c r="B104" s="293" t="s">
        <v>200</v>
      </c>
      <c r="C104" s="295"/>
      <c r="D104" s="293" t="s">
        <v>201</v>
      </c>
      <c r="E104" s="294"/>
      <c r="F104" s="295"/>
      <c r="I104" s="16"/>
      <c r="O104" s="10"/>
      <c r="P104" s="10"/>
      <c r="T104" s="5"/>
    </row>
    <row r="105" spans="2:20" ht="15" customHeight="1">
      <c r="B105" s="101" t="s">
        <v>202</v>
      </c>
      <c r="C105" s="324" t="s">
        <v>203</v>
      </c>
      <c r="D105" s="325"/>
      <c r="E105" s="87" t="s">
        <v>166</v>
      </c>
      <c r="F105" s="68" t="s">
        <v>108</v>
      </c>
      <c r="I105" s="16"/>
      <c r="O105" s="10"/>
      <c r="P105" s="10"/>
      <c r="T105" s="5"/>
    </row>
    <row r="106" spans="2:20" ht="15" customHeight="1">
      <c r="B106" s="34" t="s">
        <v>78</v>
      </c>
      <c r="C106" s="290" t="s">
        <v>204</v>
      </c>
      <c r="D106" s="292"/>
      <c r="E106" s="80">
        <v>0.11111</v>
      </c>
      <c r="F106" s="38">
        <f t="shared" ref="F106:F111" si="8">E106*$F$37</f>
        <v>153.81</v>
      </c>
      <c r="I106" s="16"/>
      <c r="O106" s="10"/>
      <c r="P106" s="10"/>
      <c r="T106" s="5"/>
    </row>
    <row r="107" spans="2:20" ht="15" customHeight="1">
      <c r="B107" s="34" t="s">
        <v>83</v>
      </c>
      <c r="C107" s="326" t="s">
        <v>205</v>
      </c>
      <c r="D107" s="327"/>
      <c r="E107" s="80">
        <v>1.389E-2</v>
      </c>
      <c r="F107" s="38">
        <f t="shared" si="8"/>
        <v>19.23</v>
      </c>
      <c r="I107" s="16"/>
      <c r="O107" s="10"/>
      <c r="P107" s="10"/>
      <c r="T107" s="5"/>
    </row>
    <row r="108" spans="2:20" ht="15" customHeight="1">
      <c r="B108" s="34" t="s">
        <v>86</v>
      </c>
      <c r="C108" s="290" t="s">
        <v>206</v>
      </c>
      <c r="D108" s="292"/>
      <c r="E108" s="80">
        <v>2.1000000000000001E-4</v>
      </c>
      <c r="F108" s="38">
        <f t="shared" si="8"/>
        <v>0.28999999999999998</v>
      </c>
      <c r="I108" s="16"/>
      <c r="O108" s="10"/>
      <c r="P108" s="10"/>
      <c r="T108" s="5"/>
    </row>
    <row r="109" spans="2:20" ht="15" customHeight="1">
      <c r="B109" s="34" t="s">
        <v>88</v>
      </c>
      <c r="C109" s="290" t="s">
        <v>207</v>
      </c>
      <c r="D109" s="292"/>
      <c r="E109" s="80">
        <v>2.7799999999999999E-3</v>
      </c>
      <c r="F109" s="38">
        <f t="shared" si="8"/>
        <v>3.85</v>
      </c>
      <c r="I109" s="16"/>
      <c r="O109" s="10"/>
      <c r="P109" s="10"/>
      <c r="T109" s="5"/>
    </row>
    <row r="110" spans="2:20" ht="15" customHeight="1">
      <c r="B110" s="34" t="s">
        <v>113</v>
      </c>
      <c r="C110" s="334" t="s">
        <v>208</v>
      </c>
      <c r="D110" s="336"/>
      <c r="E110" s="126">
        <v>3.3300000000000001E-3</v>
      </c>
      <c r="F110" s="38">
        <f t="shared" si="8"/>
        <v>4.6100000000000003</v>
      </c>
      <c r="I110" s="16"/>
      <c r="O110" s="10"/>
      <c r="P110" s="10"/>
      <c r="T110" s="5"/>
    </row>
    <row r="111" spans="2:20" ht="15" customHeight="1">
      <c r="B111" s="102" t="s">
        <v>116</v>
      </c>
      <c r="C111" s="322" t="s">
        <v>126</v>
      </c>
      <c r="D111" s="323"/>
      <c r="E111" s="80">
        <v>0</v>
      </c>
      <c r="F111" s="38">
        <f t="shared" si="8"/>
        <v>0</v>
      </c>
      <c r="I111" s="16"/>
      <c r="O111" s="10"/>
      <c r="P111" s="10"/>
      <c r="T111" s="5"/>
    </row>
    <row r="112" spans="2:20" ht="15" customHeight="1">
      <c r="B112" s="293" t="s">
        <v>183</v>
      </c>
      <c r="C112" s="294"/>
      <c r="D112" s="295"/>
      <c r="E112" s="79">
        <f>SUM(E106:E111)</f>
        <v>0.13131999999999999</v>
      </c>
      <c r="F112" s="73">
        <f>SUM(F106:F111)</f>
        <v>181.79</v>
      </c>
      <c r="I112" s="16"/>
      <c r="O112" s="10"/>
      <c r="P112" s="10"/>
      <c r="T112" s="5"/>
    </row>
    <row r="113" spans="2:20" ht="15" customHeight="1">
      <c r="B113" s="102" t="s">
        <v>122</v>
      </c>
      <c r="C113" s="326" t="s">
        <v>209</v>
      </c>
      <c r="D113" s="327"/>
      <c r="E113" s="78">
        <f>E74*E112</f>
        <v>4.743E-2</v>
      </c>
      <c r="F113" s="76">
        <f>E74*F112</f>
        <v>65.66</v>
      </c>
      <c r="I113" s="16"/>
      <c r="O113" s="10"/>
      <c r="P113" s="10"/>
      <c r="T113" s="5"/>
    </row>
    <row r="114" spans="2:20" ht="15" customHeight="1">
      <c r="B114" s="293" t="s">
        <v>57</v>
      </c>
      <c r="C114" s="294"/>
      <c r="D114" s="295"/>
      <c r="E114" s="79">
        <f>SUM(E112:E113)</f>
        <v>0.17874999999999999</v>
      </c>
      <c r="F114" s="69">
        <f>SUM(F112:F113)</f>
        <v>247.45</v>
      </c>
      <c r="I114" s="16"/>
      <c r="O114" s="10"/>
      <c r="P114" s="10"/>
      <c r="T114" s="5"/>
    </row>
    <row r="115" spans="2:20" ht="15" customHeight="1">
      <c r="I115" s="16"/>
      <c r="O115" s="10"/>
      <c r="P115" s="10"/>
      <c r="T115" s="5"/>
    </row>
    <row r="116" spans="2:20" ht="15" customHeight="1">
      <c r="B116" s="293" t="s">
        <v>210</v>
      </c>
      <c r="C116" s="295"/>
      <c r="D116" s="293" t="s">
        <v>211</v>
      </c>
      <c r="E116" s="294"/>
      <c r="F116" s="295"/>
      <c r="I116" s="16"/>
      <c r="O116" s="10"/>
      <c r="P116" s="10"/>
      <c r="T116" s="5"/>
    </row>
    <row r="117" spans="2:20" ht="15" customHeight="1">
      <c r="B117" s="101">
        <v>4</v>
      </c>
      <c r="C117" s="324" t="s">
        <v>212</v>
      </c>
      <c r="D117" s="325"/>
      <c r="E117" s="87" t="s">
        <v>166</v>
      </c>
      <c r="F117" s="68" t="s">
        <v>108</v>
      </c>
      <c r="I117" s="16"/>
      <c r="O117" s="10"/>
      <c r="P117" s="10"/>
      <c r="T117" s="5"/>
    </row>
    <row r="118" spans="2:20" ht="15" customHeight="1">
      <c r="B118" s="34" t="s">
        <v>165</v>
      </c>
      <c r="C118" s="290" t="str">
        <f>D64</f>
        <v>Encargos Previdenciários e FGTS</v>
      </c>
      <c r="D118" s="292"/>
      <c r="E118" s="90">
        <f>E74</f>
        <v>0.36120000000000002</v>
      </c>
      <c r="F118" s="38">
        <f>F74</f>
        <v>500.02</v>
      </c>
      <c r="I118" s="16"/>
      <c r="O118" s="10"/>
      <c r="P118" s="10"/>
      <c r="T118" s="5"/>
    </row>
    <row r="119" spans="2:20" ht="15" customHeight="1">
      <c r="B119" s="34" t="s">
        <v>179</v>
      </c>
      <c r="C119" s="326" t="str">
        <f>D78</f>
        <v>13° Salário e Adicional de Férias</v>
      </c>
      <c r="D119" s="327"/>
      <c r="E119" s="90">
        <f>E84</f>
        <v>0.15124000000000001</v>
      </c>
      <c r="F119" s="38">
        <f>F84</f>
        <v>209.38</v>
      </c>
      <c r="I119" s="16"/>
      <c r="O119" s="10"/>
      <c r="P119" s="10"/>
      <c r="T119" s="5"/>
    </row>
    <row r="120" spans="2:20" ht="15" customHeight="1">
      <c r="B120" s="34" t="s">
        <v>187</v>
      </c>
      <c r="C120" s="290" t="str">
        <f>D86</f>
        <v>Afastamento Maternidade</v>
      </c>
      <c r="D120" s="292"/>
      <c r="E120" s="90">
        <f>E90</f>
        <v>3.9100000000000003E-3</v>
      </c>
      <c r="F120" s="38">
        <f>F90</f>
        <v>5.4</v>
      </c>
      <c r="I120" s="16"/>
      <c r="O120" s="10"/>
      <c r="P120" s="10"/>
      <c r="T120" s="5"/>
    </row>
    <row r="121" spans="2:20" ht="15" customHeight="1">
      <c r="B121" s="34" t="s">
        <v>191</v>
      </c>
      <c r="C121" s="290" t="str">
        <f>D92</f>
        <v>Provisão para Rescisão</v>
      </c>
      <c r="D121" s="292"/>
      <c r="E121" s="90">
        <f>E100</f>
        <v>7.0959999999999995E-2</v>
      </c>
      <c r="F121" s="38">
        <f>F100</f>
        <v>98.23</v>
      </c>
      <c r="I121" s="16"/>
      <c r="O121" s="10"/>
      <c r="P121" s="10"/>
      <c r="T121" s="5"/>
    </row>
    <row r="122" spans="2:20" ht="15" customHeight="1">
      <c r="B122" s="34" t="s">
        <v>202</v>
      </c>
      <c r="C122" s="290" t="str">
        <f>D104</f>
        <v>Custo de Reposição do Profissional Ausente</v>
      </c>
      <c r="D122" s="292"/>
      <c r="E122" s="90">
        <f>E114</f>
        <v>0.17874999999999999</v>
      </c>
      <c r="F122" s="38">
        <f>F114</f>
        <v>247.45</v>
      </c>
      <c r="I122" s="16"/>
      <c r="O122" s="10"/>
      <c r="P122" s="10"/>
      <c r="T122" s="5"/>
    </row>
    <row r="123" spans="2:20" ht="15" customHeight="1">
      <c r="B123" s="102" t="s">
        <v>213</v>
      </c>
      <c r="C123" s="322" t="s">
        <v>126</v>
      </c>
      <c r="D123" s="323"/>
      <c r="E123" s="90">
        <v>0</v>
      </c>
      <c r="F123" s="38">
        <v>0</v>
      </c>
      <c r="I123" s="16"/>
      <c r="O123" s="10"/>
      <c r="P123" s="10"/>
      <c r="T123" s="5"/>
    </row>
    <row r="124" spans="2:20" ht="15" customHeight="1">
      <c r="B124" s="293" t="s">
        <v>57</v>
      </c>
      <c r="C124" s="294"/>
      <c r="D124" s="295"/>
      <c r="E124" s="89">
        <f>SUM(E118:E123)</f>
        <v>0.76605999999999996</v>
      </c>
      <c r="F124" s="69">
        <f>SUM(F118:F123)</f>
        <v>1060.48</v>
      </c>
      <c r="I124" s="16"/>
      <c r="O124" s="10"/>
      <c r="P124" s="10"/>
      <c r="T124" s="5"/>
    </row>
    <row r="125" spans="2:20" ht="15" customHeight="1">
      <c r="I125" s="16"/>
      <c r="O125" s="10"/>
      <c r="P125" s="10"/>
      <c r="T125" s="5"/>
    </row>
    <row r="126" spans="2:20" ht="15" customHeight="1">
      <c r="B126" s="293" t="s">
        <v>214</v>
      </c>
      <c r="C126" s="295"/>
      <c r="D126" s="293" t="s">
        <v>215</v>
      </c>
      <c r="E126" s="294"/>
      <c r="F126" s="295"/>
      <c r="I126" s="16"/>
      <c r="O126" s="10"/>
      <c r="P126" s="10"/>
      <c r="T126" s="5"/>
    </row>
    <row r="127" spans="2:20" ht="15" customHeight="1">
      <c r="B127" s="101">
        <v>5</v>
      </c>
      <c r="C127" s="293" t="s">
        <v>216</v>
      </c>
      <c r="D127" s="295"/>
      <c r="E127" s="87" t="s">
        <v>166</v>
      </c>
      <c r="F127" s="68" t="s">
        <v>108</v>
      </c>
      <c r="I127" s="16"/>
      <c r="O127" s="10"/>
      <c r="P127" s="10"/>
      <c r="T127" s="5"/>
    </row>
    <row r="128" spans="2:20" ht="15" customHeight="1">
      <c r="B128" s="34" t="s">
        <v>78</v>
      </c>
      <c r="C128" s="315" t="s">
        <v>217</v>
      </c>
      <c r="D128" s="316"/>
      <c r="E128" s="84">
        <v>2E-3</v>
      </c>
      <c r="F128" s="40">
        <f>E128*F148</f>
        <v>6.54</v>
      </c>
      <c r="I128" s="16"/>
      <c r="O128" s="10"/>
      <c r="P128" s="10"/>
      <c r="T128" s="5"/>
    </row>
    <row r="129" spans="2:20" ht="15" customHeight="1">
      <c r="B129" s="34" t="s">
        <v>83</v>
      </c>
      <c r="C129" s="104" t="s">
        <v>218</v>
      </c>
      <c r="D129" s="104"/>
      <c r="E129" s="84">
        <v>2E-3</v>
      </c>
      <c r="F129" s="40">
        <f>E129*(F148+F128)</f>
        <v>6.56</v>
      </c>
      <c r="I129" s="16" t="e">
        <f>'RESUMO DA PROPOSTA'!#REF!</f>
        <v>#REF!</v>
      </c>
      <c r="O129" s="10"/>
      <c r="P129" s="10"/>
      <c r="T129" s="5"/>
    </row>
    <row r="130" spans="2:20" ht="15" customHeight="1">
      <c r="B130" s="303" t="s">
        <v>219</v>
      </c>
      <c r="C130" s="304"/>
      <c r="D130" s="305"/>
      <c r="E130" s="79">
        <f>SUM(E128:E129)</f>
        <v>4.0000000000000001E-3</v>
      </c>
      <c r="F130" s="69">
        <f>SUM(F128:F129)</f>
        <v>13.1</v>
      </c>
      <c r="I130" s="16"/>
      <c r="O130" s="10"/>
      <c r="P130" s="10"/>
      <c r="T130" s="5"/>
    </row>
    <row r="131" spans="2:20" ht="15" customHeight="1">
      <c r="B131" s="317" t="s">
        <v>86</v>
      </c>
      <c r="C131" s="290" t="s">
        <v>220</v>
      </c>
      <c r="D131" s="291"/>
      <c r="E131" s="291"/>
      <c r="F131" s="292"/>
      <c r="I131" s="16"/>
      <c r="O131" s="10"/>
      <c r="P131" s="10"/>
      <c r="T131" s="5"/>
    </row>
    <row r="132" spans="2:20" ht="15" customHeight="1">
      <c r="B132" s="318"/>
      <c r="C132" s="320" t="s">
        <v>221</v>
      </c>
      <c r="D132" s="42" t="s">
        <v>222</v>
      </c>
      <c r="E132" s="80">
        <v>7.5999999999999998E-2</v>
      </c>
      <c r="F132" s="41">
        <f>(($F$148+$F$128+$F$129)/(1-$E$136))*E132</f>
        <v>291.10000000000002</v>
      </c>
      <c r="I132" s="16"/>
      <c r="O132" s="10"/>
      <c r="P132" s="10"/>
      <c r="T132" s="5"/>
    </row>
    <row r="133" spans="2:20" ht="15" customHeight="1">
      <c r="B133" s="318"/>
      <c r="C133" s="321"/>
      <c r="D133" s="42" t="s">
        <v>223</v>
      </c>
      <c r="E133" s="80">
        <v>1.6500000000000001E-2</v>
      </c>
      <c r="F133" s="41">
        <f t="shared" ref="F133:F135" si="9">(($F$148+$F$128+$F$129)/(1-$E$136))*E133</f>
        <v>63.2</v>
      </c>
      <c r="I133" s="16"/>
      <c r="O133" s="10"/>
      <c r="P133" s="10"/>
      <c r="T133" s="5"/>
    </row>
    <row r="134" spans="2:20" ht="15" customHeight="1">
      <c r="B134" s="318"/>
      <c r="C134" s="43" t="s">
        <v>224</v>
      </c>
      <c r="D134" s="42" t="s">
        <v>225</v>
      </c>
      <c r="E134" s="80">
        <v>0.05</v>
      </c>
      <c r="F134" s="41">
        <f t="shared" si="9"/>
        <v>191.51</v>
      </c>
      <c r="I134" s="16"/>
      <c r="O134" s="10"/>
      <c r="P134" s="10"/>
      <c r="T134" s="5"/>
    </row>
    <row r="135" spans="2:20" ht="15" customHeight="1">
      <c r="B135" s="319"/>
      <c r="C135" s="43" t="s">
        <v>226</v>
      </c>
      <c r="D135" s="72"/>
      <c r="E135" s="80">
        <v>0</v>
      </c>
      <c r="F135" s="41">
        <f t="shared" si="9"/>
        <v>0</v>
      </c>
      <c r="I135" s="16"/>
      <c r="O135" s="10"/>
      <c r="P135" s="10"/>
      <c r="T135" s="5"/>
    </row>
    <row r="136" spans="2:20" ht="15" customHeight="1">
      <c r="B136" s="303" t="s">
        <v>227</v>
      </c>
      <c r="C136" s="304"/>
      <c r="D136" s="305"/>
      <c r="E136" s="79">
        <f>SUM(E132:E135)</f>
        <v>0.14249999999999999</v>
      </c>
      <c r="F136" s="69">
        <f>SUM(F132:F135)</f>
        <v>545.80999999999995</v>
      </c>
      <c r="I136" s="16"/>
      <c r="O136" s="10"/>
      <c r="P136" s="10"/>
      <c r="T136" s="5"/>
    </row>
    <row r="137" spans="2:20" ht="15" customHeight="1">
      <c r="B137" s="293" t="s">
        <v>57</v>
      </c>
      <c r="C137" s="294"/>
      <c r="D137" s="295"/>
      <c r="E137" s="79">
        <f>E130+E136</f>
        <v>0.14649999999999999</v>
      </c>
      <c r="F137" s="71">
        <f>SUM(F136,F130)</f>
        <v>558.91</v>
      </c>
      <c r="I137" s="16"/>
      <c r="O137" s="10"/>
      <c r="P137" s="10"/>
      <c r="T137" s="5"/>
    </row>
    <row r="138" spans="2:20" ht="15" customHeight="1">
      <c r="B138" s="39" t="s">
        <v>145</v>
      </c>
      <c r="C138" s="306" t="s">
        <v>228</v>
      </c>
      <c r="D138" s="307"/>
      <c r="E138" s="307"/>
      <c r="F138" s="308"/>
      <c r="I138" s="16"/>
      <c r="O138" s="10"/>
      <c r="P138" s="10"/>
      <c r="T138" s="5"/>
    </row>
    <row r="139" spans="2:20" ht="15" customHeight="1">
      <c r="B139" s="39" t="s">
        <v>148</v>
      </c>
      <c r="C139" s="306" t="s">
        <v>229</v>
      </c>
      <c r="D139" s="307"/>
      <c r="E139" s="307"/>
      <c r="F139" s="308"/>
      <c r="I139" s="16"/>
      <c r="O139" s="10"/>
      <c r="P139" s="10"/>
      <c r="T139" s="5"/>
    </row>
    <row r="140" spans="2:20" ht="25.5" customHeight="1">
      <c r="B140" s="39" t="s">
        <v>230</v>
      </c>
      <c r="C140" s="309" t="s">
        <v>231</v>
      </c>
      <c r="D140" s="310"/>
      <c r="E140" s="310"/>
      <c r="F140" s="311"/>
      <c r="I140" s="16"/>
      <c r="O140" s="10"/>
      <c r="P140" s="10"/>
      <c r="T140" s="5"/>
    </row>
    <row r="141" spans="2:20" ht="15" customHeight="1">
      <c r="I141" s="16"/>
      <c r="O141" s="10"/>
      <c r="P141" s="10"/>
      <c r="T141" s="5"/>
    </row>
    <row r="142" spans="2:20" ht="15" customHeight="1">
      <c r="B142" s="293" t="s">
        <v>232</v>
      </c>
      <c r="C142" s="294"/>
      <c r="D142" s="294"/>
      <c r="E142" s="294"/>
      <c r="F142" s="295"/>
      <c r="I142" s="16"/>
      <c r="O142" s="10"/>
      <c r="P142" s="10"/>
      <c r="T142" s="5"/>
    </row>
    <row r="143" spans="2:20" ht="15" customHeight="1">
      <c r="B143" s="300" t="s">
        <v>233</v>
      </c>
      <c r="C143" s="301"/>
      <c r="D143" s="301"/>
      <c r="E143" s="302"/>
      <c r="F143" s="65" t="s">
        <v>234</v>
      </c>
      <c r="I143" s="16"/>
      <c r="O143" s="10"/>
      <c r="P143" s="10"/>
      <c r="T143" s="5"/>
    </row>
    <row r="144" spans="2:20" ht="15" customHeight="1">
      <c r="B144" s="34" t="s">
        <v>78</v>
      </c>
      <c r="C144" s="290" t="s">
        <v>235</v>
      </c>
      <c r="D144" s="291"/>
      <c r="E144" s="292"/>
      <c r="F144" s="38">
        <f>F37</f>
        <v>1384.32</v>
      </c>
      <c r="I144" s="16"/>
      <c r="O144" s="10"/>
      <c r="P144" s="10"/>
      <c r="T144" s="5"/>
    </row>
    <row r="145" spans="2:20" ht="15" customHeight="1">
      <c r="B145" s="34" t="s">
        <v>83</v>
      </c>
      <c r="C145" s="290" t="s">
        <v>236</v>
      </c>
      <c r="D145" s="291"/>
      <c r="E145" s="292"/>
      <c r="F145" s="38">
        <f>F47</f>
        <v>269.85000000000002</v>
      </c>
      <c r="I145" s="16"/>
      <c r="O145" s="10"/>
      <c r="P145" s="10"/>
      <c r="T145" s="5"/>
    </row>
    <row r="146" spans="2:20" ht="15" customHeight="1">
      <c r="B146" s="34" t="s">
        <v>86</v>
      </c>
      <c r="C146" s="290" t="s">
        <v>237</v>
      </c>
      <c r="D146" s="291"/>
      <c r="E146" s="292"/>
      <c r="F146" s="38">
        <f>F60</f>
        <v>556.71</v>
      </c>
      <c r="I146" s="16"/>
      <c r="O146" s="10"/>
      <c r="P146" s="10"/>
      <c r="T146" s="5"/>
    </row>
    <row r="147" spans="2:20" ht="15" customHeight="1">
      <c r="B147" s="34" t="s">
        <v>88</v>
      </c>
      <c r="C147" s="290" t="s">
        <v>212</v>
      </c>
      <c r="D147" s="291"/>
      <c r="E147" s="292"/>
      <c r="F147" s="38">
        <f>F124</f>
        <v>1060.48</v>
      </c>
      <c r="I147" s="16"/>
      <c r="O147" s="10"/>
      <c r="P147" s="10"/>
      <c r="T147" s="5"/>
    </row>
    <row r="148" spans="2:20" ht="15" customHeight="1">
      <c r="B148" s="293" t="s">
        <v>238</v>
      </c>
      <c r="C148" s="294"/>
      <c r="D148" s="294"/>
      <c r="E148" s="295"/>
      <c r="F148" s="73">
        <f>SUM(F144:F147)</f>
        <v>3271.36</v>
      </c>
      <c r="I148" s="16"/>
      <c r="O148" s="10"/>
      <c r="P148" s="10"/>
      <c r="T148" s="5"/>
    </row>
    <row r="149" spans="2:20" ht="15" customHeight="1">
      <c r="B149" s="34" t="s">
        <v>113</v>
      </c>
      <c r="C149" s="290" t="s">
        <v>239</v>
      </c>
      <c r="D149" s="291"/>
      <c r="E149" s="292"/>
      <c r="F149" s="38">
        <f>F137</f>
        <v>558.91</v>
      </c>
      <c r="I149" s="16"/>
      <c r="O149" s="10"/>
      <c r="P149" s="10"/>
      <c r="T149" s="5"/>
    </row>
    <row r="150" spans="2:20" ht="15" customHeight="1">
      <c r="B150" s="293" t="s">
        <v>240</v>
      </c>
      <c r="C150" s="294"/>
      <c r="D150" s="294"/>
      <c r="E150" s="295"/>
      <c r="F150" s="73">
        <f>SUM(F148:F149)</f>
        <v>3830.27</v>
      </c>
      <c r="I150" s="16"/>
      <c r="O150" s="10"/>
      <c r="P150" s="10"/>
      <c r="T150" s="5"/>
    </row>
    <row r="151" spans="2:20" ht="15" customHeight="1">
      <c r="H151" s="48"/>
      <c r="I151" s="16"/>
      <c r="O151" s="10"/>
      <c r="P151" s="10"/>
      <c r="T151" s="5"/>
    </row>
    <row r="152" spans="2:20" ht="15" customHeight="1">
      <c r="B152" s="296" t="s">
        <v>254</v>
      </c>
      <c r="C152" s="297"/>
      <c r="D152" s="297"/>
      <c r="E152" s="297"/>
      <c r="F152" s="298"/>
      <c r="I152" s="16"/>
      <c r="O152" s="10"/>
      <c r="P152" s="10"/>
      <c r="T152" s="5"/>
    </row>
    <row r="153" spans="2:20" ht="15" customHeight="1">
      <c r="I153" s="16"/>
      <c r="O153" s="10"/>
      <c r="P153" s="10"/>
      <c r="T153" s="5"/>
    </row>
    <row r="154" spans="2:20" ht="15" customHeight="1">
      <c r="B154" s="8" t="s">
        <v>55</v>
      </c>
      <c r="C154" s="9" t="str">
        <f>C2</f>
        <v>IPANGUAÇU</v>
      </c>
      <c r="D154" s="8" t="s">
        <v>59</v>
      </c>
      <c r="E154" s="344">
        <f>E2</f>
        <v>0</v>
      </c>
      <c r="F154" s="345"/>
      <c r="I154" s="16"/>
      <c r="O154" s="10"/>
      <c r="P154" s="10"/>
      <c r="T154" s="5"/>
    </row>
    <row r="155" spans="2:20" ht="21">
      <c r="B155" s="358"/>
      <c r="C155" s="358"/>
      <c r="D155" s="358"/>
      <c r="E155" s="358"/>
      <c r="F155" s="358"/>
      <c r="I155" s="16"/>
      <c r="O155" s="10"/>
      <c r="P155" s="10"/>
      <c r="T155" s="5"/>
    </row>
    <row r="156" spans="2:20" ht="15" customHeight="1">
      <c r="B156" s="293" t="s">
        <v>60</v>
      </c>
      <c r="C156" s="294"/>
      <c r="D156" s="294"/>
      <c r="E156" s="294"/>
      <c r="F156" s="295"/>
      <c r="G156" s="49"/>
      <c r="I156" s="16"/>
      <c r="O156" s="10"/>
      <c r="P156" s="10"/>
      <c r="T156" s="5"/>
    </row>
    <row r="157" spans="2:20" ht="15" customHeight="1">
      <c r="B157" s="34" t="s">
        <v>62</v>
      </c>
      <c r="C157" s="9"/>
      <c r="D157" s="103" t="s">
        <v>63</v>
      </c>
      <c r="E157" s="352"/>
      <c r="F157" s="353"/>
      <c r="I157" s="16"/>
      <c r="O157" s="10"/>
      <c r="P157" s="10"/>
      <c r="T157" s="5"/>
    </row>
    <row r="158" spans="2:20" ht="15" customHeight="1">
      <c r="B158" s="34" t="s">
        <v>65</v>
      </c>
      <c r="C158" s="9"/>
      <c r="D158" s="34" t="s">
        <v>66</v>
      </c>
      <c r="E158" s="352"/>
      <c r="F158" s="353"/>
      <c r="I158" s="16"/>
      <c r="O158" s="10"/>
      <c r="P158" s="10"/>
      <c r="T158" s="5"/>
    </row>
    <row r="159" spans="2:20" ht="15" customHeight="1">
      <c r="B159" s="293" t="s">
        <v>67</v>
      </c>
      <c r="C159" s="294"/>
      <c r="D159" s="294"/>
      <c r="E159" s="294"/>
      <c r="F159" s="295"/>
      <c r="I159" s="16"/>
      <c r="O159" s="10"/>
      <c r="P159" s="10"/>
      <c r="T159" s="5"/>
    </row>
    <row r="160" spans="2:20" ht="15" customHeight="1">
      <c r="B160" s="34" t="s">
        <v>69</v>
      </c>
      <c r="C160" s="66"/>
      <c r="D160" s="34" t="s">
        <v>70</v>
      </c>
      <c r="E160" s="354"/>
      <c r="F160" s="355"/>
      <c r="I160" s="16"/>
      <c r="O160" s="10"/>
      <c r="P160" s="10"/>
      <c r="T160" s="5"/>
    </row>
    <row r="161" spans="2:20" ht="15" customHeight="1">
      <c r="B161" s="293" t="s">
        <v>75</v>
      </c>
      <c r="C161" s="294"/>
      <c r="D161" s="294"/>
      <c r="E161" s="294"/>
      <c r="F161" s="295"/>
      <c r="I161" s="16"/>
      <c r="O161" s="10"/>
      <c r="P161" s="10"/>
      <c r="T161" s="5"/>
    </row>
    <row r="162" spans="2:20" ht="15" customHeight="1">
      <c r="B162" s="34" t="s">
        <v>78</v>
      </c>
      <c r="C162" s="290" t="s">
        <v>79</v>
      </c>
      <c r="D162" s="292"/>
      <c r="E162" s="356"/>
      <c r="F162" s="357"/>
      <c r="I162" s="16"/>
      <c r="O162" s="10"/>
      <c r="P162" s="10"/>
      <c r="T162" s="5"/>
    </row>
    <row r="163" spans="2:20" ht="15" customHeight="1">
      <c r="B163" s="34" t="s">
        <v>83</v>
      </c>
      <c r="C163" s="290" t="s">
        <v>84</v>
      </c>
      <c r="D163" s="292"/>
      <c r="E163" s="346" t="str">
        <f>E11</f>
        <v>IPANGUAÇU/RN</v>
      </c>
      <c r="F163" s="347"/>
      <c r="I163" s="16"/>
      <c r="O163" s="10"/>
      <c r="P163" s="10"/>
      <c r="T163" s="5"/>
    </row>
    <row r="164" spans="2:20" ht="15" customHeight="1">
      <c r="B164" s="34" t="s">
        <v>86</v>
      </c>
      <c r="C164" s="53" t="s">
        <v>87</v>
      </c>
      <c r="D164" s="54"/>
      <c r="E164" s="344" t="str">
        <f>E12</f>
        <v>RN000112/2018</v>
      </c>
      <c r="F164" s="345"/>
      <c r="H164" s="3"/>
      <c r="I164" s="16"/>
      <c r="O164" s="10"/>
      <c r="P164" s="10"/>
      <c r="T164" s="5"/>
    </row>
    <row r="165" spans="2:20" ht="15" customHeight="1">
      <c r="B165" s="34" t="s">
        <v>88</v>
      </c>
      <c r="C165" s="322" t="s">
        <v>89</v>
      </c>
      <c r="D165" s="323"/>
      <c r="E165" s="344">
        <f>E13</f>
        <v>12</v>
      </c>
      <c r="F165" s="345"/>
      <c r="I165" s="16"/>
      <c r="O165" s="10"/>
      <c r="P165" s="10"/>
      <c r="T165" s="5"/>
    </row>
    <row r="166" spans="2:20" ht="15" customHeight="1">
      <c r="B166" s="293" t="s">
        <v>90</v>
      </c>
      <c r="C166" s="294"/>
      <c r="D166" s="294"/>
      <c r="E166" s="294"/>
      <c r="F166" s="295"/>
      <c r="I166" s="16"/>
      <c r="O166" s="10"/>
      <c r="P166" s="10"/>
      <c r="T166" s="5"/>
    </row>
    <row r="167" spans="2:20" ht="15" customHeight="1">
      <c r="B167" s="344" t="s">
        <v>91</v>
      </c>
      <c r="C167" s="345"/>
      <c r="D167" s="50" t="s">
        <v>92</v>
      </c>
      <c r="E167" s="346" t="str">
        <f>E15</f>
        <v xml:space="preserve">Qtd Total a Contratar </v>
      </c>
      <c r="F167" s="347"/>
      <c r="H167" s="55"/>
      <c r="I167" s="16"/>
      <c r="O167" s="10"/>
      <c r="P167" s="10"/>
      <c r="T167" s="5"/>
    </row>
    <row r="168" spans="2:20" ht="15" customHeight="1">
      <c r="B168" s="348" t="s">
        <v>58</v>
      </c>
      <c r="C168" s="349"/>
      <c r="D168" s="30" t="s">
        <v>95</v>
      </c>
      <c r="E168" s="350">
        <v>1</v>
      </c>
      <c r="F168" s="351"/>
      <c r="I168" s="16"/>
      <c r="O168" s="10"/>
      <c r="P168" s="10"/>
      <c r="T168" s="5"/>
    </row>
    <row r="169" spans="2:20" ht="15" customHeight="1">
      <c r="I169" s="16"/>
      <c r="O169" s="10"/>
      <c r="P169" s="10"/>
      <c r="T169" s="5"/>
    </row>
    <row r="170" spans="2:20" ht="15" customHeight="1">
      <c r="B170" s="293" t="s">
        <v>71</v>
      </c>
      <c r="C170" s="294"/>
      <c r="D170" s="294"/>
      <c r="E170" s="294"/>
      <c r="F170" s="295"/>
      <c r="I170" s="16"/>
      <c r="O170" s="10"/>
      <c r="P170" s="10"/>
      <c r="T170" s="5"/>
    </row>
    <row r="171" spans="2:20" ht="15" customHeight="1">
      <c r="B171" s="293" t="s">
        <v>96</v>
      </c>
      <c r="C171" s="294"/>
      <c r="D171" s="294"/>
      <c r="E171" s="294"/>
      <c r="F171" s="295"/>
      <c r="I171" s="16"/>
      <c r="O171" s="10"/>
      <c r="P171" s="10"/>
      <c r="T171" s="5"/>
    </row>
    <row r="172" spans="2:20" ht="15" customHeight="1">
      <c r="B172" s="290" t="s">
        <v>98</v>
      </c>
      <c r="C172" s="291"/>
      <c r="D172" s="291"/>
      <c r="E172" s="291"/>
      <c r="F172" s="292"/>
      <c r="I172" s="16"/>
      <c r="O172" s="10"/>
      <c r="P172" s="10"/>
      <c r="T172" s="5"/>
    </row>
    <row r="173" spans="2:20" ht="15" customHeight="1">
      <c r="B173" s="34">
        <v>1</v>
      </c>
      <c r="C173" s="315" t="s">
        <v>99</v>
      </c>
      <c r="D173" s="343"/>
      <c r="E173" s="316"/>
      <c r="F173" s="56"/>
      <c r="I173" s="16"/>
      <c r="O173" s="10"/>
      <c r="P173" s="10"/>
      <c r="T173" s="5"/>
    </row>
    <row r="174" spans="2:20" ht="15" customHeight="1">
      <c r="B174" s="34">
        <v>2</v>
      </c>
      <c r="C174" s="290" t="s">
        <v>100</v>
      </c>
      <c r="D174" s="291"/>
      <c r="E174" s="292"/>
      <c r="F174" s="57">
        <v>1134.1099999999999</v>
      </c>
      <c r="I174" s="16"/>
      <c r="O174" s="10"/>
      <c r="P174" s="10"/>
      <c r="T174" s="5"/>
    </row>
    <row r="175" spans="2:20" ht="15" customHeight="1">
      <c r="B175" s="34">
        <v>3</v>
      </c>
      <c r="C175" s="290" t="s">
        <v>101</v>
      </c>
      <c r="D175" s="291"/>
      <c r="E175" s="292"/>
      <c r="F175" s="56"/>
      <c r="I175" s="16"/>
      <c r="O175" s="10"/>
      <c r="P175" s="10"/>
      <c r="T175" s="5"/>
    </row>
    <row r="176" spans="2:20" ht="15" customHeight="1">
      <c r="B176" s="34">
        <v>4</v>
      </c>
      <c r="C176" s="290" t="s">
        <v>102</v>
      </c>
      <c r="D176" s="291"/>
      <c r="E176" s="292"/>
      <c r="F176" s="58">
        <f>'AJUDANTE-SERVENTE'!F25</f>
        <v>43101</v>
      </c>
      <c r="I176" s="16"/>
      <c r="O176" s="10"/>
      <c r="P176" s="10"/>
      <c r="T176" s="5"/>
    </row>
    <row r="177" spans="2:20" ht="15" customHeight="1">
      <c r="B177" s="37" t="s">
        <v>103</v>
      </c>
      <c r="C177" s="306" t="s">
        <v>104</v>
      </c>
      <c r="D177" s="307"/>
      <c r="E177" s="307"/>
      <c r="F177" s="308"/>
      <c r="I177" s="16"/>
      <c r="O177" s="10"/>
      <c r="P177" s="10"/>
      <c r="T177" s="5"/>
    </row>
    <row r="178" spans="2:20" ht="15" customHeight="1">
      <c r="B178" s="293" t="s">
        <v>105</v>
      </c>
      <c r="C178" s="295"/>
      <c r="D178" s="293" t="s">
        <v>106</v>
      </c>
      <c r="E178" s="294"/>
      <c r="F178" s="295"/>
      <c r="I178" s="16"/>
      <c r="O178" s="10"/>
      <c r="P178" s="10"/>
      <c r="T178" s="5"/>
    </row>
    <row r="179" spans="2:20" ht="15" customHeight="1">
      <c r="B179" s="101">
        <v>1</v>
      </c>
      <c r="C179" s="293" t="s">
        <v>107</v>
      </c>
      <c r="D179" s="294"/>
      <c r="E179" s="295"/>
      <c r="F179" s="68" t="s">
        <v>108</v>
      </c>
      <c r="I179" s="16"/>
      <c r="O179" s="10"/>
      <c r="P179" s="10"/>
      <c r="T179" s="5"/>
    </row>
    <row r="180" spans="2:20" ht="15" customHeight="1">
      <c r="B180" s="34" t="s">
        <v>78</v>
      </c>
      <c r="C180" s="59" t="s">
        <v>109</v>
      </c>
      <c r="D180" s="60"/>
      <c r="E180" s="80"/>
      <c r="F180" s="61">
        <f>F174</f>
        <v>1134.1099999999999</v>
      </c>
      <c r="I180" s="16"/>
      <c r="O180" s="10"/>
      <c r="P180" s="10"/>
      <c r="T180" s="5"/>
    </row>
    <row r="181" spans="2:20" ht="15" customHeight="1">
      <c r="B181" s="34" t="s">
        <v>83</v>
      </c>
      <c r="C181" s="59" t="s">
        <v>110</v>
      </c>
      <c r="D181" s="60"/>
      <c r="E181" s="80"/>
      <c r="F181" s="61">
        <f>$F$174*E181</f>
        <v>0</v>
      </c>
      <c r="I181" s="16"/>
      <c r="O181" s="10"/>
      <c r="P181" s="10"/>
      <c r="T181" s="5"/>
    </row>
    <row r="182" spans="2:20" ht="15" customHeight="1">
      <c r="B182" s="34" t="s">
        <v>86</v>
      </c>
      <c r="C182" s="59" t="s">
        <v>111</v>
      </c>
      <c r="D182" s="60"/>
      <c r="E182" s="81"/>
      <c r="F182" s="61">
        <f t="shared" ref="F182:F187" si="10">$F$174*E182</f>
        <v>0</v>
      </c>
      <c r="I182" s="16"/>
      <c r="O182" s="10"/>
      <c r="P182" s="10"/>
      <c r="T182" s="5"/>
    </row>
    <row r="183" spans="2:20" ht="15" customHeight="1">
      <c r="B183" s="34" t="s">
        <v>88</v>
      </c>
      <c r="C183" s="59" t="s">
        <v>112</v>
      </c>
      <c r="D183" s="60"/>
      <c r="E183" s="80"/>
      <c r="F183" s="61">
        <f t="shared" si="10"/>
        <v>0</v>
      </c>
      <c r="I183" s="16"/>
      <c r="O183" s="10"/>
      <c r="P183" s="10"/>
      <c r="T183" s="5"/>
    </row>
    <row r="184" spans="2:20" ht="15" customHeight="1">
      <c r="B184" s="34" t="s">
        <v>113</v>
      </c>
      <c r="C184" s="59" t="s">
        <v>114</v>
      </c>
      <c r="D184" s="60"/>
      <c r="E184" s="80"/>
      <c r="F184" s="61">
        <f t="shared" si="10"/>
        <v>0</v>
      </c>
      <c r="I184" s="16"/>
      <c r="O184" s="10"/>
      <c r="P184" s="10"/>
      <c r="T184" s="5"/>
    </row>
    <row r="185" spans="2:20" ht="15" customHeight="1">
      <c r="B185" s="34" t="s">
        <v>116</v>
      </c>
      <c r="C185" s="59" t="s">
        <v>117</v>
      </c>
      <c r="D185" s="60"/>
      <c r="E185" s="80"/>
      <c r="F185" s="61">
        <f t="shared" si="10"/>
        <v>0</v>
      </c>
      <c r="I185" s="16"/>
      <c r="O185" s="10"/>
      <c r="P185" s="10"/>
      <c r="T185" s="5"/>
    </row>
    <row r="186" spans="2:20" ht="15" customHeight="1">
      <c r="B186" s="34" t="s">
        <v>122</v>
      </c>
      <c r="C186" s="59" t="s">
        <v>123</v>
      </c>
      <c r="D186" s="60"/>
      <c r="E186" s="80"/>
      <c r="F186" s="61">
        <f t="shared" si="10"/>
        <v>0</v>
      </c>
      <c r="I186" s="16"/>
      <c r="O186" s="10"/>
      <c r="P186" s="10"/>
      <c r="T186" s="5"/>
    </row>
    <row r="187" spans="2:20" ht="15" customHeight="1">
      <c r="B187" s="102" t="s">
        <v>125</v>
      </c>
      <c r="C187" s="290" t="s">
        <v>126</v>
      </c>
      <c r="D187" s="292"/>
      <c r="E187" s="81"/>
      <c r="F187" s="61">
        <f t="shared" si="10"/>
        <v>0</v>
      </c>
      <c r="I187" s="16"/>
      <c r="O187" s="10"/>
      <c r="P187" s="10"/>
      <c r="T187" s="5"/>
    </row>
    <row r="188" spans="2:20" ht="15" customHeight="1">
      <c r="B188" s="293" t="s">
        <v>128</v>
      </c>
      <c r="C188" s="294"/>
      <c r="D188" s="295"/>
      <c r="E188" s="86">
        <f>SUM(E181:E187)</f>
        <v>0</v>
      </c>
      <c r="F188" s="69">
        <f>SUM(F180:F187)</f>
        <v>1134.1099999999999</v>
      </c>
      <c r="I188" s="16"/>
      <c r="O188" s="10"/>
      <c r="P188" s="10"/>
      <c r="T188" s="5"/>
    </row>
    <row r="189" spans="2:20" ht="15" customHeight="1">
      <c r="I189" s="16"/>
      <c r="O189" s="10"/>
      <c r="P189" s="10"/>
      <c r="T189" s="5"/>
    </row>
    <row r="190" spans="2:20" ht="15" customHeight="1">
      <c r="B190" s="293" t="s">
        <v>130</v>
      </c>
      <c r="C190" s="295"/>
      <c r="D190" s="293" t="s">
        <v>131</v>
      </c>
      <c r="E190" s="294"/>
      <c r="F190" s="295"/>
      <c r="I190" s="16"/>
      <c r="O190" s="10"/>
      <c r="P190" s="10"/>
      <c r="T190" s="5"/>
    </row>
    <row r="191" spans="2:20" ht="15" customHeight="1">
      <c r="B191" s="101">
        <v>2</v>
      </c>
      <c r="C191" s="293" t="s">
        <v>132</v>
      </c>
      <c r="D191" s="294"/>
      <c r="E191" s="295"/>
      <c r="F191" s="68" t="s">
        <v>108</v>
      </c>
      <c r="I191" s="16"/>
      <c r="O191" s="10"/>
      <c r="P191" s="10"/>
      <c r="T191" s="5"/>
    </row>
    <row r="192" spans="2:20" ht="15" customHeight="1">
      <c r="B192" s="102" t="s">
        <v>78</v>
      </c>
      <c r="C192" s="290" t="s">
        <v>133</v>
      </c>
      <c r="D192" s="291"/>
      <c r="E192" s="292"/>
      <c r="F192" s="33">
        <f>(2*2*26)-(F180*0.06)</f>
        <v>35.950000000000003</v>
      </c>
      <c r="I192" s="16"/>
      <c r="O192" s="10"/>
      <c r="P192" s="10"/>
      <c r="T192" s="5"/>
    </row>
    <row r="193" spans="2:20" ht="15" customHeight="1">
      <c r="B193" s="102" t="s">
        <v>83</v>
      </c>
      <c r="C193" s="340" t="s">
        <v>134</v>
      </c>
      <c r="D193" s="341"/>
      <c r="E193" s="342"/>
      <c r="F193" s="33">
        <f>F42</f>
        <v>116.18</v>
      </c>
      <c r="I193" s="16"/>
      <c r="O193" s="10"/>
      <c r="P193" s="10"/>
      <c r="T193" s="5"/>
    </row>
    <row r="194" spans="2:20" ht="15" customHeight="1">
      <c r="B194" s="34" t="s">
        <v>86</v>
      </c>
      <c r="C194" s="337" t="s">
        <v>135</v>
      </c>
      <c r="D194" s="338"/>
      <c r="E194" s="339"/>
      <c r="F194" s="33">
        <f t="shared" ref="F194:F197" si="11">F43</f>
        <v>90</v>
      </c>
      <c r="I194" s="16"/>
      <c r="O194" s="10"/>
      <c r="P194" s="10"/>
      <c r="T194" s="5"/>
    </row>
    <row r="195" spans="2:20" ht="15" customHeight="1">
      <c r="B195" s="34" t="s">
        <v>88</v>
      </c>
      <c r="C195" s="337" t="s">
        <v>136</v>
      </c>
      <c r="D195" s="338"/>
      <c r="E195" s="339"/>
      <c r="F195" s="33">
        <f t="shared" si="11"/>
        <v>10</v>
      </c>
      <c r="I195" s="16"/>
      <c r="O195" s="10"/>
      <c r="P195" s="10"/>
      <c r="T195" s="5"/>
    </row>
    <row r="196" spans="2:20" ht="15" customHeight="1">
      <c r="B196" s="34" t="s">
        <v>113</v>
      </c>
      <c r="C196" s="337" t="s">
        <v>138</v>
      </c>
      <c r="D196" s="338"/>
      <c r="E196" s="339"/>
      <c r="F196" s="33">
        <f t="shared" si="11"/>
        <v>9</v>
      </c>
      <c r="I196" s="16"/>
      <c r="O196" s="10"/>
      <c r="P196" s="10"/>
      <c r="T196" s="5"/>
    </row>
    <row r="197" spans="2:20" ht="15" customHeight="1">
      <c r="B197" s="102" t="s">
        <v>116</v>
      </c>
      <c r="C197" s="337" t="s">
        <v>141</v>
      </c>
      <c r="D197" s="338"/>
      <c r="E197" s="339"/>
      <c r="F197" s="33">
        <f t="shared" si="11"/>
        <v>0</v>
      </c>
      <c r="I197" s="16"/>
      <c r="O197" s="10"/>
      <c r="P197" s="10"/>
      <c r="T197" s="5"/>
    </row>
    <row r="198" spans="2:20" ht="15" customHeight="1">
      <c r="B198" s="293" t="s">
        <v>143</v>
      </c>
      <c r="C198" s="294"/>
      <c r="D198" s="294"/>
      <c r="E198" s="295"/>
      <c r="F198" s="69">
        <f>SUM(F192:F197)</f>
        <v>261.13</v>
      </c>
      <c r="I198" s="16"/>
      <c r="O198" s="10"/>
      <c r="P198" s="10"/>
      <c r="T198" s="5"/>
    </row>
    <row r="199" spans="2:20" ht="28.5" customHeight="1">
      <c r="B199" s="34" t="s">
        <v>145</v>
      </c>
      <c r="C199" s="309" t="s">
        <v>146</v>
      </c>
      <c r="D199" s="310"/>
      <c r="E199" s="310"/>
      <c r="F199" s="311"/>
      <c r="I199" s="16"/>
      <c r="O199" s="10"/>
      <c r="P199" s="10"/>
      <c r="T199" s="5"/>
    </row>
    <row r="200" spans="2:20" ht="98.25" customHeight="1">
      <c r="B200" s="34" t="s">
        <v>148</v>
      </c>
      <c r="C200" s="309" t="s">
        <v>149</v>
      </c>
      <c r="D200" s="310"/>
      <c r="E200" s="310"/>
      <c r="F200" s="311"/>
      <c r="I200" s="16"/>
      <c r="O200" s="10"/>
      <c r="P200" s="10"/>
      <c r="T200" s="5"/>
    </row>
    <row r="201" spans="2:20" ht="15" customHeight="1">
      <c r="I201" s="16"/>
      <c r="O201" s="10"/>
      <c r="P201" s="10"/>
      <c r="T201" s="5"/>
    </row>
    <row r="202" spans="2:20" ht="15" customHeight="1">
      <c r="B202" s="293" t="s">
        <v>153</v>
      </c>
      <c r="C202" s="295"/>
      <c r="D202" s="293" t="s">
        <v>154</v>
      </c>
      <c r="E202" s="294"/>
      <c r="F202" s="295"/>
      <c r="I202" s="16"/>
      <c r="O202" s="10"/>
      <c r="P202" s="10"/>
      <c r="T202" s="5"/>
    </row>
    <row r="203" spans="2:20" ht="15" customHeight="1">
      <c r="B203" s="101">
        <v>3</v>
      </c>
      <c r="C203" s="293" t="s">
        <v>155</v>
      </c>
      <c r="D203" s="294"/>
      <c r="E203" s="295"/>
      <c r="F203" s="68" t="s">
        <v>108</v>
      </c>
      <c r="I203" s="16"/>
      <c r="O203" s="10"/>
      <c r="P203" s="10"/>
      <c r="T203" s="5"/>
    </row>
    <row r="204" spans="2:20" ht="15" customHeight="1">
      <c r="B204" s="117" t="s">
        <v>78</v>
      </c>
      <c r="C204" s="334" t="s">
        <v>156</v>
      </c>
      <c r="D204" s="335"/>
      <c r="E204" s="336"/>
      <c r="F204" s="116">
        <v>29.25</v>
      </c>
    </row>
    <row r="205" spans="2:20" ht="15" customHeight="1">
      <c r="B205" s="34" t="s">
        <v>83</v>
      </c>
      <c r="C205" s="290" t="s">
        <v>157</v>
      </c>
      <c r="D205" s="291"/>
      <c r="E205" s="292"/>
      <c r="F205" s="35">
        <v>0</v>
      </c>
    </row>
    <row r="206" spans="2:20" ht="15" customHeight="1">
      <c r="B206" s="34" t="s">
        <v>86</v>
      </c>
      <c r="C206" s="290" t="s">
        <v>158</v>
      </c>
      <c r="D206" s="291"/>
      <c r="E206" s="292"/>
      <c r="F206" s="35">
        <v>0</v>
      </c>
    </row>
    <row r="207" spans="2:20" ht="15" customHeight="1">
      <c r="B207" s="102" t="s">
        <v>88</v>
      </c>
      <c r="C207" s="322" t="s">
        <v>260</v>
      </c>
      <c r="D207" s="328"/>
      <c r="E207" s="323"/>
      <c r="F207" s="36">
        <v>0</v>
      </c>
    </row>
    <row r="208" spans="2:20" ht="15" customHeight="1">
      <c r="B208" s="293" t="s">
        <v>159</v>
      </c>
      <c r="C208" s="294"/>
      <c r="D208" s="294"/>
      <c r="E208" s="295"/>
      <c r="F208" s="69">
        <f>SUM(F204:F207)</f>
        <v>29.25</v>
      </c>
    </row>
    <row r="209" spans="2:7" ht="15" customHeight="1">
      <c r="B209" s="37" t="s">
        <v>103</v>
      </c>
      <c r="C209" s="306" t="s">
        <v>241</v>
      </c>
      <c r="D209" s="307"/>
      <c r="E209" s="307"/>
      <c r="F209" s="308"/>
    </row>
    <row r="211" spans="2:7" ht="15" customHeight="1">
      <c r="B211" s="293" t="s">
        <v>161</v>
      </c>
      <c r="C211" s="295"/>
      <c r="D211" s="293" t="s">
        <v>162</v>
      </c>
      <c r="E211" s="294"/>
      <c r="F211" s="295"/>
    </row>
    <row r="212" spans="2:7" ht="15" customHeight="1">
      <c r="B212" s="293" t="s">
        <v>163</v>
      </c>
      <c r="C212" s="295"/>
      <c r="D212" s="293" t="s">
        <v>164</v>
      </c>
      <c r="E212" s="294"/>
      <c r="F212" s="295"/>
    </row>
    <row r="213" spans="2:7" ht="15" customHeight="1">
      <c r="B213" s="101" t="s">
        <v>165</v>
      </c>
      <c r="C213" s="293" t="s">
        <v>164</v>
      </c>
      <c r="D213" s="295"/>
      <c r="E213" s="87" t="s">
        <v>166</v>
      </c>
      <c r="F213" s="68" t="s">
        <v>108</v>
      </c>
    </row>
    <row r="214" spans="2:7" ht="15" customHeight="1">
      <c r="B214" s="34" t="s">
        <v>78</v>
      </c>
      <c r="C214" s="290" t="s">
        <v>167</v>
      </c>
      <c r="D214" s="292"/>
      <c r="E214" s="80">
        <v>0.2</v>
      </c>
      <c r="F214" s="35">
        <f>E214*$F$188</f>
        <v>226.82</v>
      </c>
      <c r="G214" s="55"/>
    </row>
    <row r="215" spans="2:7" ht="15" customHeight="1">
      <c r="B215" s="34" t="s">
        <v>83</v>
      </c>
      <c r="C215" s="290" t="s">
        <v>168</v>
      </c>
      <c r="D215" s="292"/>
      <c r="E215" s="80">
        <v>1.4999999999999999E-2</v>
      </c>
      <c r="F215" s="35">
        <f t="shared" ref="F215:F221" si="12">E215*$F$188</f>
        <v>17.010000000000002</v>
      </c>
    </row>
    <row r="216" spans="2:7" ht="15" customHeight="1">
      <c r="B216" s="34" t="s">
        <v>86</v>
      </c>
      <c r="C216" s="290" t="s">
        <v>169</v>
      </c>
      <c r="D216" s="292"/>
      <c r="E216" s="80">
        <v>0.01</v>
      </c>
      <c r="F216" s="35">
        <f t="shared" si="12"/>
        <v>11.34</v>
      </c>
    </row>
    <row r="217" spans="2:7" ht="15" customHeight="1">
      <c r="B217" s="34" t="s">
        <v>88</v>
      </c>
      <c r="C217" s="290" t="s">
        <v>170</v>
      </c>
      <c r="D217" s="292"/>
      <c r="E217" s="80">
        <v>2E-3</v>
      </c>
      <c r="F217" s="35">
        <f t="shared" si="12"/>
        <v>2.27</v>
      </c>
    </row>
    <row r="218" spans="2:7" ht="15" customHeight="1">
      <c r="B218" s="34" t="s">
        <v>113</v>
      </c>
      <c r="C218" s="290" t="s">
        <v>171</v>
      </c>
      <c r="D218" s="292"/>
      <c r="E218" s="80">
        <v>2.5000000000000001E-2</v>
      </c>
      <c r="F218" s="35">
        <f t="shared" si="12"/>
        <v>28.35</v>
      </c>
    </row>
    <row r="219" spans="2:7" ht="15" customHeight="1">
      <c r="B219" s="34" t="s">
        <v>116</v>
      </c>
      <c r="C219" s="290" t="s">
        <v>172</v>
      </c>
      <c r="D219" s="292"/>
      <c r="E219" s="80">
        <v>0.08</v>
      </c>
      <c r="F219" s="35">
        <f t="shared" si="12"/>
        <v>90.73</v>
      </c>
    </row>
    <row r="220" spans="2:7" ht="15" customHeight="1">
      <c r="B220" s="34" t="s">
        <v>122</v>
      </c>
      <c r="C220" s="290" t="s">
        <v>173</v>
      </c>
      <c r="D220" s="292"/>
      <c r="E220" s="80">
        <v>0.06</v>
      </c>
      <c r="F220" s="35">
        <f t="shared" si="12"/>
        <v>68.05</v>
      </c>
    </row>
    <row r="221" spans="2:7" ht="15" customHeight="1">
      <c r="B221" s="34" t="s">
        <v>125</v>
      </c>
      <c r="C221" s="290" t="s">
        <v>174</v>
      </c>
      <c r="D221" s="292"/>
      <c r="E221" s="80">
        <v>6.0000000000000001E-3</v>
      </c>
      <c r="F221" s="35">
        <f t="shared" si="12"/>
        <v>6.8</v>
      </c>
    </row>
    <row r="222" spans="2:7" ht="15" customHeight="1">
      <c r="B222" s="293" t="s">
        <v>57</v>
      </c>
      <c r="C222" s="294"/>
      <c r="D222" s="295"/>
      <c r="E222" s="79">
        <f>SUM(E214:E221)</f>
        <v>0.39800000000000002</v>
      </c>
      <c r="F222" s="69">
        <f>SUM(F214:F221)</f>
        <v>451.37</v>
      </c>
    </row>
    <row r="223" spans="2:7" ht="15" customHeight="1">
      <c r="B223" s="39" t="s">
        <v>145</v>
      </c>
      <c r="C223" s="309" t="s">
        <v>175</v>
      </c>
      <c r="D223" s="310"/>
      <c r="E223" s="310"/>
      <c r="F223" s="311"/>
    </row>
    <row r="224" spans="2:7" ht="15" customHeight="1">
      <c r="B224" s="39" t="s">
        <v>148</v>
      </c>
      <c r="C224" s="331" t="s">
        <v>176</v>
      </c>
      <c r="D224" s="332"/>
      <c r="E224" s="332"/>
      <c r="F224" s="333"/>
    </row>
    <row r="226" spans="2:8" ht="15" customHeight="1">
      <c r="B226" s="293" t="s">
        <v>177</v>
      </c>
      <c r="C226" s="295"/>
      <c r="D226" s="293" t="s">
        <v>178</v>
      </c>
      <c r="E226" s="294"/>
      <c r="F226" s="295"/>
      <c r="H226" s="63"/>
    </row>
    <row r="227" spans="2:8" ht="15" customHeight="1">
      <c r="B227" s="101" t="s">
        <v>179</v>
      </c>
      <c r="C227" s="293" t="s">
        <v>180</v>
      </c>
      <c r="D227" s="295"/>
      <c r="E227" s="87" t="s">
        <v>166</v>
      </c>
      <c r="F227" s="68" t="s">
        <v>108</v>
      </c>
    </row>
    <row r="228" spans="2:8" ht="15" customHeight="1">
      <c r="B228" s="34" t="s">
        <v>78</v>
      </c>
      <c r="C228" s="290" t="s">
        <v>181</v>
      </c>
      <c r="D228" s="292"/>
      <c r="E228" s="80">
        <v>8.3330000000000001E-2</v>
      </c>
      <c r="F228" s="35">
        <f t="shared" ref="F228:F229" si="13">E228*$F$188</f>
        <v>94.51</v>
      </c>
    </row>
    <row r="229" spans="2:8" ht="15" customHeight="1">
      <c r="B229" s="64" t="s">
        <v>83</v>
      </c>
      <c r="C229" s="329" t="s">
        <v>182</v>
      </c>
      <c r="D229" s="330"/>
      <c r="E229" s="80">
        <v>2.7779999999999999E-2</v>
      </c>
      <c r="F229" s="35">
        <f t="shared" si="13"/>
        <v>31.51</v>
      </c>
    </row>
    <row r="230" spans="2:8" ht="15" customHeight="1">
      <c r="B230" s="293" t="s">
        <v>183</v>
      </c>
      <c r="C230" s="294"/>
      <c r="D230" s="295"/>
      <c r="E230" s="79">
        <f>SUM(E228:E229)</f>
        <v>0.11111</v>
      </c>
      <c r="F230" s="71">
        <f>SUM(F228:F229)</f>
        <v>126.02</v>
      </c>
    </row>
    <row r="231" spans="2:8" ht="15" customHeight="1">
      <c r="B231" s="102" t="s">
        <v>86</v>
      </c>
      <c r="C231" s="322" t="s">
        <v>184</v>
      </c>
      <c r="D231" s="323"/>
      <c r="E231" s="88">
        <f>E222*E230</f>
        <v>4.4220000000000002E-2</v>
      </c>
      <c r="F231" s="94">
        <f>F230*E222</f>
        <v>50.16</v>
      </c>
      <c r="G231" s="63"/>
    </row>
    <row r="232" spans="2:8" ht="15" customHeight="1">
      <c r="B232" s="293" t="s">
        <v>57</v>
      </c>
      <c r="C232" s="294"/>
      <c r="D232" s="295"/>
      <c r="E232" s="79">
        <f>SUM(E230:E231)</f>
        <v>0.15533</v>
      </c>
      <c r="F232" s="71">
        <f>SUM(F230:F231)</f>
        <v>176.18</v>
      </c>
    </row>
    <row r="234" spans="2:8" ht="15" customHeight="1">
      <c r="B234" s="293" t="s">
        <v>185</v>
      </c>
      <c r="C234" s="295"/>
      <c r="D234" s="293" t="s">
        <v>186</v>
      </c>
      <c r="E234" s="294"/>
      <c r="F234" s="295"/>
    </row>
    <row r="235" spans="2:8" ht="15" customHeight="1">
      <c r="B235" s="101" t="s">
        <v>187</v>
      </c>
      <c r="C235" s="293" t="s">
        <v>186</v>
      </c>
      <c r="D235" s="295"/>
      <c r="E235" s="87" t="s">
        <v>166</v>
      </c>
      <c r="F235" s="68" t="s">
        <v>108</v>
      </c>
    </row>
    <row r="236" spans="2:8" ht="15" customHeight="1">
      <c r="B236" s="34" t="s">
        <v>78</v>
      </c>
      <c r="C236" s="290" t="s">
        <v>186</v>
      </c>
      <c r="D236" s="292"/>
      <c r="E236" s="78">
        <v>2.8700000000000002E-3</v>
      </c>
      <c r="F236" s="35">
        <f t="shared" ref="F236" si="14">E236*$F$188</f>
        <v>3.25</v>
      </c>
    </row>
    <row r="237" spans="2:8" ht="15" customHeight="1">
      <c r="B237" s="102" t="s">
        <v>83</v>
      </c>
      <c r="C237" s="322" t="s">
        <v>188</v>
      </c>
      <c r="D237" s="323"/>
      <c r="E237" s="88">
        <f>E222*E236</f>
        <v>1.14E-3</v>
      </c>
      <c r="F237" s="94">
        <f>F236*E222</f>
        <v>1.29</v>
      </c>
    </row>
    <row r="238" spans="2:8" ht="15" customHeight="1">
      <c r="B238" s="293" t="s">
        <v>57</v>
      </c>
      <c r="C238" s="294"/>
      <c r="D238" s="295"/>
      <c r="E238" s="89">
        <f>SUM(E236:E237)</f>
        <v>4.0099999999999997E-3</v>
      </c>
      <c r="F238" s="69">
        <f>SUM(F236:F237)</f>
        <v>4.54</v>
      </c>
    </row>
    <row r="240" spans="2:8" ht="15" customHeight="1">
      <c r="B240" s="293" t="s">
        <v>189</v>
      </c>
      <c r="C240" s="295"/>
      <c r="D240" s="293" t="s">
        <v>190</v>
      </c>
      <c r="E240" s="294"/>
      <c r="F240" s="295"/>
    </row>
    <row r="241" spans="2:6" ht="15" customHeight="1">
      <c r="B241" s="101" t="s">
        <v>191</v>
      </c>
      <c r="C241" s="293" t="s">
        <v>190</v>
      </c>
      <c r="D241" s="295"/>
      <c r="E241" s="87" t="s">
        <v>166</v>
      </c>
      <c r="F241" s="68" t="s">
        <v>108</v>
      </c>
    </row>
    <row r="242" spans="2:6" ht="15" customHeight="1">
      <c r="B242" s="34" t="s">
        <v>78</v>
      </c>
      <c r="C242" s="290" t="s">
        <v>192</v>
      </c>
      <c r="D242" s="292"/>
      <c r="E242" s="78">
        <v>4.1700000000000001E-3</v>
      </c>
      <c r="F242" s="35">
        <f t="shared" ref="F242" si="15">E242*$F$188</f>
        <v>4.7300000000000004</v>
      </c>
    </row>
    <row r="243" spans="2:6" ht="15" customHeight="1">
      <c r="B243" s="34" t="s">
        <v>83</v>
      </c>
      <c r="C243" s="326" t="s">
        <v>193</v>
      </c>
      <c r="D243" s="327"/>
      <c r="E243" s="78">
        <f>E242*E219</f>
        <v>3.3E-4</v>
      </c>
      <c r="F243" s="38">
        <f>F242*E219</f>
        <v>0.38</v>
      </c>
    </row>
    <row r="244" spans="2:6" ht="15" customHeight="1">
      <c r="B244" s="34" t="s">
        <v>86</v>
      </c>
      <c r="C244" s="290" t="s">
        <v>194</v>
      </c>
      <c r="D244" s="292"/>
      <c r="E244" s="78">
        <v>3.2000000000000001E-2</v>
      </c>
      <c r="F244" s="35">
        <f t="shared" ref="F244:F245" si="16">E244*$F$188</f>
        <v>36.29</v>
      </c>
    </row>
    <row r="245" spans="2:6" ht="15" customHeight="1">
      <c r="B245" s="34" t="s">
        <v>88</v>
      </c>
      <c r="C245" s="290" t="s">
        <v>195</v>
      </c>
      <c r="D245" s="292"/>
      <c r="E245" s="78">
        <v>1.9439999999999999E-2</v>
      </c>
      <c r="F245" s="35">
        <f t="shared" si="16"/>
        <v>22.05</v>
      </c>
    </row>
    <row r="246" spans="2:6" ht="15" customHeight="1">
      <c r="B246" s="34" t="s">
        <v>113</v>
      </c>
      <c r="C246" s="326" t="s">
        <v>196</v>
      </c>
      <c r="D246" s="327"/>
      <c r="E246" s="78">
        <f>E245*E222</f>
        <v>7.7400000000000004E-3</v>
      </c>
      <c r="F246" s="94">
        <f>F245*E222</f>
        <v>8.7799999999999994</v>
      </c>
    </row>
    <row r="247" spans="2:6" ht="15" customHeight="1">
      <c r="B247" s="102" t="s">
        <v>88</v>
      </c>
      <c r="C247" s="290" t="s">
        <v>197</v>
      </c>
      <c r="D247" s="292"/>
      <c r="E247" s="78">
        <v>8.0000000000000002E-3</v>
      </c>
      <c r="F247" s="35">
        <f t="shared" ref="F247" si="17">E247*$F$188</f>
        <v>9.07</v>
      </c>
    </row>
    <row r="248" spans="2:6" ht="15" customHeight="1">
      <c r="B248" s="293" t="s">
        <v>57</v>
      </c>
      <c r="C248" s="294"/>
      <c r="D248" s="295"/>
      <c r="E248" s="79">
        <f>SUM(E242:E247)</f>
        <v>7.1679999999999994E-2</v>
      </c>
      <c r="F248" s="69">
        <f>SUM(F242:F247)</f>
        <v>81.3</v>
      </c>
    </row>
    <row r="249" spans="2:6" ht="27" customHeight="1">
      <c r="B249" s="32" t="s">
        <v>145</v>
      </c>
      <c r="C249" s="322" t="s">
        <v>198</v>
      </c>
      <c r="D249" s="328"/>
      <c r="E249" s="328"/>
      <c r="F249" s="323"/>
    </row>
    <row r="250" spans="2:6" ht="27.75" customHeight="1">
      <c r="B250" s="32" t="s">
        <v>148</v>
      </c>
      <c r="C250" s="322" t="s">
        <v>199</v>
      </c>
      <c r="D250" s="328"/>
      <c r="E250" s="328"/>
      <c r="F250" s="323"/>
    </row>
    <row r="252" spans="2:6" ht="15" customHeight="1">
      <c r="B252" s="293" t="s">
        <v>200</v>
      </c>
      <c r="C252" s="295"/>
      <c r="D252" s="293" t="s">
        <v>201</v>
      </c>
      <c r="E252" s="294"/>
      <c r="F252" s="295"/>
    </row>
    <row r="253" spans="2:6" ht="15" customHeight="1">
      <c r="B253" s="101" t="s">
        <v>202</v>
      </c>
      <c r="C253" s="324" t="s">
        <v>203</v>
      </c>
      <c r="D253" s="325"/>
      <c r="E253" s="87" t="s">
        <v>166</v>
      </c>
      <c r="F253" s="68" t="s">
        <v>108</v>
      </c>
    </row>
    <row r="254" spans="2:6" ht="15" customHeight="1">
      <c r="B254" s="34" t="s">
        <v>78</v>
      </c>
      <c r="C254" s="290" t="s">
        <v>204</v>
      </c>
      <c r="D254" s="292"/>
      <c r="E254" s="80">
        <v>0.11111</v>
      </c>
      <c r="F254" s="35">
        <f t="shared" ref="F254:F259" si="18">E254*$F$188</f>
        <v>126.01</v>
      </c>
    </row>
    <row r="255" spans="2:6" ht="15" customHeight="1">
      <c r="B255" s="34" t="s">
        <v>83</v>
      </c>
      <c r="C255" s="326" t="s">
        <v>205</v>
      </c>
      <c r="D255" s="327"/>
      <c r="E255" s="80">
        <v>1.389E-2</v>
      </c>
      <c r="F255" s="35">
        <f t="shared" si="18"/>
        <v>15.75</v>
      </c>
    </row>
    <row r="256" spans="2:6" ht="15" customHeight="1">
      <c r="B256" s="34" t="s">
        <v>86</v>
      </c>
      <c r="C256" s="290" t="s">
        <v>206</v>
      </c>
      <c r="D256" s="292"/>
      <c r="E256" s="80">
        <v>2.1000000000000001E-4</v>
      </c>
      <c r="F256" s="35">
        <f t="shared" si="18"/>
        <v>0.24</v>
      </c>
    </row>
    <row r="257" spans="2:6" ht="15" customHeight="1">
      <c r="B257" s="34" t="s">
        <v>88</v>
      </c>
      <c r="C257" s="290" t="s">
        <v>207</v>
      </c>
      <c r="D257" s="292"/>
      <c r="E257" s="80">
        <v>2.7799999999999999E-3</v>
      </c>
      <c r="F257" s="35">
        <f t="shared" si="18"/>
        <v>3.15</v>
      </c>
    </row>
    <row r="258" spans="2:6" ht="15" customHeight="1">
      <c r="B258" s="34" t="s">
        <v>113</v>
      </c>
      <c r="C258" s="290" t="s">
        <v>208</v>
      </c>
      <c r="D258" s="292"/>
      <c r="E258" s="80">
        <v>3.3300000000000001E-3</v>
      </c>
      <c r="F258" s="35">
        <f t="shared" si="18"/>
        <v>3.78</v>
      </c>
    </row>
    <row r="259" spans="2:6" ht="15" customHeight="1">
      <c r="B259" s="102" t="s">
        <v>116</v>
      </c>
      <c r="C259" s="322" t="s">
        <v>126</v>
      </c>
      <c r="D259" s="323"/>
      <c r="E259" s="80">
        <v>0</v>
      </c>
      <c r="F259" s="35">
        <f t="shared" si="18"/>
        <v>0</v>
      </c>
    </row>
    <row r="260" spans="2:6" ht="15" customHeight="1">
      <c r="B260" s="293" t="s">
        <v>183</v>
      </c>
      <c r="C260" s="294"/>
      <c r="D260" s="295"/>
      <c r="E260" s="79">
        <f>SUM(E254:E259)</f>
        <v>0.13131999999999999</v>
      </c>
      <c r="F260" s="73">
        <f>SUM(F254:F259)</f>
        <v>148.93</v>
      </c>
    </row>
    <row r="261" spans="2:6" ht="15" customHeight="1">
      <c r="B261" s="102" t="s">
        <v>122</v>
      </c>
      <c r="C261" s="326" t="s">
        <v>209</v>
      </c>
      <c r="D261" s="327"/>
      <c r="E261" s="78">
        <f>E222*E260</f>
        <v>5.2269999999999997E-2</v>
      </c>
      <c r="F261" s="76">
        <f>E222*F260</f>
        <v>59.27</v>
      </c>
    </row>
    <row r="262" spans="2:6" ht="15" customHeight="1">
      <c r="B262" s="293" t="s">
        <v>57</v>
      </c>
      <c r="C262" s="294"/>
      <c r="D262" s="295"/>
      <c r="E262" s="79">
        <f>SUM(E260:E261)</f>
        <v>0.18359</v>
      </c>
      <c r="F262" s="69">
        <f>SUM(F260:F261)</f>
        <v>208.2</v>
      </c>
    </row>
    <row r="264" spans="2:6" ht="15" customHeight="1">
      <c r="B264" s="293" t="s">
        <v>210</v>
      </c>
      <c r="C264" s="295"/>
      <c r="D264" s="293" t="s">
        <v>211</v>
      </c>
      <c r="E264" s="294"/>
      <c r="F264" s="295"/>
    </row>
    <row r="265" spans="2:6" ht="15" customHeight="1">
      <c r="B265" s="101">
        <v>4</v>
      </c>
      <c r="C265" s="324" t="s">
        <v>212</v>
      </c>
      <c r="D265" s="325"/>
      <c r="E265" s="87" t="s">
        <v>166</v>
      </c>
      <c r="F265" s="68" t="s">
        <v>108</v>
      </c>
    </row>
    <row r="266" spans="2:6" ht="15" customHeight="1">
      <c r="B266" s="34" t="s">
        <v>165</v>
      </c>
      <c r="C266" s="290" t="str">
        <f>D212</f>
        <v>Encargos Previdenciários e FGTS</v>
      </c>
      <c r="D266" s="292"/>
      <c r="E266" s="91">
        <f>E222</f>
        <v>0.39800000000000002</v>
      </c>
      <c r="F266" s="38">
        <f>F222</f>
        <v>451.37</v>
      </c>
    </row>
    <row r="267" spans="2:6" ht="15" customHeight="1">
      <c r="B267" s="34" t="s">
        <v>179</v>
      </c>
      <c r="C267" s="326" t="str">
        <f>D226</f>
        <v>13° Salário e Adicional de Férias</v>
      </c>
      <c r="D267" s="327"/>
      <c r="E267" s="91">
        <f>E232</f>
        <v>0.15533</v>
      </c>
      <c r="F267" s="38">
        <f>F232</f>
        <v>176.18</v>
      </c>
    </row>
    <row r="268" spans="2:6" ht="15" customHeight="1">
      <c r="B268" s="34" t="s">
        <v>187</v>
      </c>
      <c r="C268" s="290" t="str">
        <f>D234</f>
        <v>Afastamento Maternidade</v>
      </c>
      <c r="D268" s="292"/>
      <c r="E268" s="91">
        <f>E238</f>
        <v>4.0099999999999997E-3</v>
      </c>
      <c r="F268" s="38">
        <f>F238</f>
        <v>4.54</v>
      </c>
    </row>
    <row r="269" spans="2:6" ht="15" customHeight="1">
      <c r="B269" s="34" t="s">
        <v>191</v>
      </c>
      <c r="C269" s="290" t="str">
        <f>D240</f>
        <v>Provisão para Rescisão</v>
      </c>
      <c r="D269" s="292"/>
      <c r="E269" s="91">
        <f>E248</f>
        <v>7.1679999999999994E-2</v>
      </c>
      <c r="F269" s="38">
        <f>F248</f>
        <v>81.3</v>
      </c>
    </row>
    <row r="270" spans="2:6" ht="15" customHeight="1">
      <c r="B270" s="34" t="s">
        <v>202</v>
      </c>
      <c r="C270" s="290" t="str">
        <f>D252</f>
        <v>Custo de Reposição do Profissional Ausente</v>
      </c>
      <c r="D270" s="292"/>
      <c r="E270" s="91">
        <f>E262</f>
        <v>0.18359</v>
      </c>
      <c r="F270" s="38">
        <f>F262</f>
        <v>208.2</v>
      </c>
    </row>
    <row r="271" spans="2:6" ht="15" customHeight="1">
      <c r="B271" s="102" t="s">
        <v>213</v>
      </c>
      <c r="C271" s="322" t="s">
        <v>126</v>
      </c>
      <c r="D271" s="323"/>
      <c r="E271" s="92">
        <v>0</v>
      </c>
      <c r="F271" s="77">
        <v>0</v>
      </c>
    </row>
    <row r="272" spans="2:6" ht="15" customHeight="1">
      <c r="B272" s="293" t="s">
        <v>57</v>
      </c>
      <c r="C272" s="294"/>
      <c r="D272" s="295"/>
      <c r="E272" s="89">
        <f>SUM(E266:E271)</f>
        <v>0.81261000000000005</v>
      </c>
      <c r="F272" s="69">
        <f>SUM(F266:F271)</f>
        <v>921.59</v>
      </c>
    </row>
    <row r="274" spans="2:7" ht="15" customHeight="1">
      <c r="B274" s="293" t="s">
        <v>214</v>
      </c>
      <c r="C274" s="295"/>
      <c r="D274" s="293" t="s">
        <v>215</v>
      </c>
      <c r="E274" s="294"/>
      <c r="F274" s="295"/>
    </row>
    <row r="275" spans="2:7" ht="15" customHeight="1">
      <c r="B275" s="101">
        <v>5</v>
      </c>
      <c r="C275" s="293" t="s">
        <v>216</v>
      </c>
      <c r="D275" s="295"/>
      <c r="E275" s="87" t="s">
        <v>166</v>
      </c>
      <c r="F275" s="68" t="s">
        <v>108</v>
      </c>
    </row>
    <row r="276" spans="2:7" ht="15" customHeight="1">
      <c r="B276" s="34" t="s">
        <v>78</v>
      </c>
      <c r="C276" s="315" t="s">
        <v>217</v>
      </c>
      <c r="D276" s="316"/>
      <c r="E276" s="80">
        <v>0.05</v>
      </c>
      <c r="F276" s="40">
        <f>E276*F296</f>
        <v>117.3</v>
      </c>
    </row>
    <row r="277" spans="2:7" ht="15" customHeight="1">
      <c r="B277" s="34" t="s">
        <v>83</v>
      </c>
      <c r="C277" s="75" t="s">
        <v>218</v>
      </c>
      <c r="D277" s="75"/>
      <c r="E277" s="93">
        <v>0.05</v>
      </c>
      <c r="F277" s="40">
        <f>E277*(F296+F276)</f>
        <v>123.17</v>
      </c>
    </row>
    <row r="278" spans="2:7" ht="15" customHeight="1">
      <c r="B278" s="303" t="s">
        <v>219</v>
      </c>
      <c r="C278" s="304"/>
      <c r="D278" s="305"/>
      <c r="E278" s="79">
        <f>SUM(E276:E277)</f>
        <v>0.1</v>
      </c>
      <c r="F278" s="69">
        <f>SUM(F276:F277)</f>
        <v>240.47</v>
      </c>
    </row>
    <row r="279" spans="2:7" ht="15" customHeight="1">
      <c r="B279" s="317" t="s">
        <v>86</v>
      </c>
      <c r="C279" s="290" t="s">
        <v>220</v>
      </c>
      <c r="D279" s="291"/>
      <c r="E279" s="291"/>
      <c r="F279" s="292"/>
    </row>
    <row r="280" spans="2:7" ht="15" customHeight="1">
      <c r="B280" s="318"/>
      <c r="C280" s="320" t="s">
        <v>221</v>
      </c>
      <c r="D280" s="42" t="s">
        <v>222</v>
      </c>
      <c r="E280" s="80">
        <v>0.03</v>
      </c>
      <c r="F280" s="41">
        <f>(($F$276+$F$277+$F$296)/(1-$E$284)*E280)</f>
        <v>84.94</v>
      </c>
      <c r="G280" s="67"/>
    </row>
    <row r="281" spans="2:7" ht="15" customHeight="1">
      <c r="B281" s="318"/>
      <c r="C281" s="321"/>
      <c r="D281" s="42" t="s">
        <v>223</v>
      </c>
      <c r="E281" s="80">
        <v>6.4999999999999997E-3</v>
      </c>
      <c r="F281" s="41">
        <f t="shared" ref="F281:F283" si="19">(($F$276+$F$277+$F$296)/(1-$E$284)*E281)</f>
        <v>18.399999999999999</v>
      </c>
      <c r="G281" s="67"/>
    </row>
    <row r="282" spans="2:7" ht="15" customHeight="1">
      <c r="B282" s="318"/>
      <c r="C282" s="43" t="s">
        <v>224</v>
      </c>
      <c r="D282" s="42" t="s">
        <v>225</v>
      </c>
      <c r="E282" s="80">
        <v>0.05</v>
      </c>
      <c r="F282" s="41">
        <f t="shared" si="19"/>
        <v>141.57</v>
      </c>
      <c r="G282" s="67"/>
    </row>
    <row r="283" spans="2:7" ht="15" customHeight="1">
      <c r="B283" s="319"/>
      <c r="C283" s="43" t="s">
        <v>226</v>
      </c>
      <c r="D283" s="72"/>
      <c r="E283" s="80">
        <v>0</v>
      </c>
      <c r="F283" s="41">
        <f t="shared" si="19"/>
        <v>0</v>
      </c>
      <c r="G283" s="67"/>
    </row>
    <row r="284" spans="2:7" ht="15" customHeight="1">
      <c r="B284" s="303" t="s">
        <v>227</v>
      </c>
      <c r="C284" s="304"/>
      <c r="D284" s="305"/>
      <c r="E284" s="79">
        <f>SUM(E280:E283)</f>
        <v>8.6499999999999994E-2</v>
      </c>
      <c r="F284" s="74">
        <f>SUM(F280:F283)</f>
        <v>244.91</v>
      </c>
      <c r="G284" s="67"/>
    </row>
    <row r="285" spans="2:7" ht="15" customHeight="1">
      <c r="B285" s="293" t="s">
        <v>57</v>
      </c>
      <c r="C285" s="294"/>
      <c r="D285" s="295"/>
      <c r="E285" s="79">
        <f>E278+E284</f>
        <v>0.1865</v>
      </c>
      <c r="F285" s="71">
        <f>F278+F284</f>
        <v>485.38</v>
      </c>
      <c r="G285" s="67"/>
    </row>
    <row r="286" spans="2:7" ht="15" customHeight="1">
      <c r="B286" s="39" t="s">
        <v>145</v>
      </c>
      <c r="C286" s="306" t="s">
        <v>228</v>
      </c>
      <c r="D286" s="307"/>
      <c r="E286" s="307"/>
      <c r="F286" s="308"/>
      <c r="G286" s="67"/>
    </row>
    <row r="287" spans="2:7" ht="15" customHeight="1">
      <c r="B287" s="39" t="s">
        <v>148</v>
      </c>
      <c r="C287" s="306" t="s">
        <v>229</v>
      </c>
      <c r="D287" s="307"/>
      <c r="E287" s="307"/>
      <c r="F287" s="308"/>
      <c r="G287" s="67"/>
    </row>
    <row r="288" spans="2:7" ht="30.75" customHeight="1">
      <c r="B288" s="39" t="s">
        <v>230</v>
      </c>
      <c r="C288" s="309" t="s">
        <v>256</v>
      </c>
      <c r="D288" s="310"/>
      <c r="E288" s="310"/>
      <c r="F288" s="311"/>
      <c r="G288" s="67"/>
    </row>
    <row r="289" spans="2:20" ht="15" customHeight="1">
      <c r="G289" s="67"/>
    </row>
    <row r="290" spans="2:20" ht="15" customHeight="1">
      <c r="B290" s="312" t="s">
        <v>232</v>
      </c>
      <c r="C290" s="313"/>
      <c r="D290" s="313"/>
      <c r="E290" s="313"/>
      <c r="F290" s="314"/>
      <c r="G290" s="67"/>
    </row>
    <row r="291" spans="2:20" ht="15" customHeight="1">
      <c r="B291" s="300" t="s">
        <v>233</v>
      </c>
      <c r="C291" s="301"/>
      <c r="D291" s="301"/>
      <c r="E291" s="302"/>
      <c r="F291" s="65" t="s">
        <v>234</v>
      </c>
      <c r="G291" s="67"/>
    </row>
    <row r="292" spans="2:20" ht="15" customHeight="1">
      <c r="B292" s="34" t="s">
        <v>78</v>
      </c>
      <c r="C292" s="290" t="s">
        <v>235</v>
      </c>
      <c r="D292" s="291"/>
      <c r="E292" s="292"/>
      <c r="F292" s="38">
        <f>F188</f>
        <v>1134.1099999999999</v>
      </c>
      <c r="G292" s="67"/>
    </row>
    <row r="293" spans="2:20" ht="15" customHeight="1">
      <c r="B293" s="34" t="s">
        <v>83</v>
      </c>
      <c r="C293" s="290" t="s">
        <v>236</v>
      </c>
      <c r="D293" s="291"/>
      <c r="E293" s="292"/>
      <c r="F293" s="38">
        <f>F198</f>
        <v>261.13</v>
      </c>
      <c r="G293" s="67"/>
    </row>
    <row r="294" spans="2:20" ht="15" customHeight="1">
      <c r="B294" s="34" t="s">
        <v>86</v>
      </c>
      <c r="C294" s="290" t="s">
        <v>237</v>
      </c>
      <c r="D294" s="291"/>
      <c r="E294" s="292"/>
      <c r="F294" s="38">
        <f>F208</f>
        <v>29.25</v>
      </c>
      <c r="G294" s="67"/>
    </row>
    <row r="295" spans="2:20" ht="15" customHeight="1">
      <c r="B295" s="34" t="s">
        <v>88</v>
      </c>
      <c r="C295" s="290" t="s">
        <v>212</v>
      </c>
      <c r="D295" s="291"/>
      <c r="E295" s="292"/>
      <c r="F295" s="38">
        <f>F272</f>
        <v>921.59</v>
      </c>
      <c r="G295" s="67"/>
    </row>
    <row r="296" spans="2:20" ht="15" customHeight="1">
      <c r="B296" s="293" t="s">
        <v>238</v>
      </c>
      <c r="C296" s="294"/>
      <c r="D296" s="294"/>
      <c r="E296" s="295"/>
      <c r="F296" s="73">
        <f>SUM(F292:F295)</f>
        <v>2346.08</v>
      </c>
      <c r="G296" s="67"/>
    </row>
    <row r="297" spans="2:20" ht="15" customHeight="1">
      <c r="B297" s="34" t="s">
        <v>113</v>
      </c>
      <c r="C297" s="290" t="s">
        <v>239</v>
      </c>
      <c r="D297" s="291"/>
      <c r="E297" s="292"/>
      <c r="F297" s="38">
        <f>F285</f>
        <v>485.38</v>
      </c>
      <c r="G297" s="67"/>
    </row>
    <row r="298" spans="2:20" ht="15" customHeight="1">
      <c r="B298" s="293" t="s">
        <v>240</v>
      </c>
      <c r="C298" s="294"/>
      <c r="D298" s="294"/>
      <c r="E298" s="295"/>
      <c r="F298" s="73">
        <f>SUM(F296:F297)</f>
        <v>2831.46</v>
      </c>
      <c r="G298" s="67"/>
    </row>
    <row r="299" spans="2:20" ht="15" customHeight="1">
      <c r="H299" s="49"/>
    </row>
    <row r="300" spans="2:20" ht="15" customHeight="1">
      <c r="B300" s="296" t="s">
        <v>254</v>
      </c>
      <c r="C300" s="297"/>
      <c r="D300" s="297"/>
      <c r="E300" s="297"/>
      <c r="F300" s="298"/>
      <c r="I300" s="16"/>
      <c r="O300" s="10"/>
      <c r="P300" s="10"/>
      <c r="T300" s="5"/>
    </row>
    <row r="302" spans="2:20" ht="15" customHeight="1">
      <c r="B302" s="108"/>
      <c r="C302" s="105"/>
      <c r="D302" s="105"/>
      <c r="E302" s="106"/>
      <c r="F302" s="107"/>
    </row>
    <row r="303" spans="2:20" ht="65.25" customHeight="1">
      <c r="B303" s="299"/>
      <c r="C303" s="299"/>
      <c r="D303" s="299"/>
      <c r="E303" s="299"/>
      <c r="F303" s="299"/>
    </row>
  </sheetData>
  <mergeCells count="362">
    <mergeCell ref="E2:F2"/>
    <mergeCell ref="J2:M2"/>
    <mergeCell ref="B3:F3"/>
    <mergeCell ref="I3:R3"/>
    <mergeCell ref="B4:F4"/>
    <mergeCell ref="I4:R4"/>
    <mergeCell ref="E5:F5"/>
    <mergeCell ref="I5:R5"/>
    <mergeCell ref="E6:F6"/>
    <mergeCell ref="B7:F7"/>
    <mergeCell ref="I7:O7"/>
    <mergeCell ref="B8:C8"/>
    <mergeCell ref="E8:F8"/>
    <mergeCell ref="I8:I10"/>
    <mergeCell ref="J8:M8"/>
    <mergeCell ref="B9:F9"/>
    <mergeCell ref="J9:M9"/>
    <mergeCell ref="C10:D10"/>
    <mergeCell ref="E10:F10"/>
    <mergeCell ref="J10:M10"/>
    <mergeCell ref="C11:D11"/>
    <mergeCell ref="E11:F11"/>
    <mergeCell ref="I11:I12"/>
    <mergeCell ref="J11:L11"/>
    <mergeCell ref="M11:M12"/>
    <mergeCell ref="N11:N12"/>
    <mergeCell ref="O11:O12"/>
    <mergeCell ref="E12:F12"/>
    <mergeCell ref="C13:D13"/>
    <mergeCell ref="E13:F13"/>
    <mergeCell ref="I13:I14"/>
    <mergeCell ref="J13:L13"/>
    <mergeCell ref="M13:M14"/>
    <mergeCell ref="N13:N14"/>
    <mergeCell ref="O13:O14"/>
    <mergeCell ref="I17:O17"/>
    <mergeCell ref="B18:F18"/>
    <mergeCell ref="I18:I20"/>
    <mergeCell ref="J18:M18"/>
    <mergeCell ref="B19:F19"/>
    <mergeCell ref="J19:M19"/>
    <mergeCell ref="B20:F20"/>
    <mergeCell ref="J20:M20"/>
    <mergeCell ref="B14:F14"/>
    <mergeCell ref="J14:L14"/>
    <mergeCell ref="B15:C15"/>
    <mergeCell ref="E15:F15"/>
    <mergeCell ref="I15:N15"/>
    <mergeCell ref="B16:C16"/>
    <mergeCell ref="E16:F16"/>
    <mergeCell ref="C23:E23"/>
    <mergeCell ref="I23:I24"/>
    <mergeCell ref="J23:L23"/>
    <mergeCell ref="M23:M24"/>
    <mergeCell ref="N23:N24"/>
    <mergeCell ref="O23:O24"/>
    <mergeCell ref="C24:E24"/>
    <mergeCell ref="J24:L24"/>
    <mergeCell ref="B21:F21"/>
    <mergeCell ref="I21:I22"/>
    <mergeCell ref="J21:L21"/>
    <mergeCell ref="M21:M22"/>
    <mergeCell ref="N21:N22"/>
    <mergeCell ref="O21:O22"/>
    <mergeCell ref="C22:E22"/>
    <mergeCell ref="C28:E28"/>
    <mergeCell ref="I28:I30"/>
    <mergeCell ref="J28:M28"/>
    <mergeCell ref="J29:M29"/>
    <mergeCell ref="J30:M30"/>
    <mergeCell ref="I31:I32"/>
    <mergeCell ref="J31:L31"/>
    <mergeCell ref="M31:M32"/>
    <mergeCell ref="C25:E25"/>
    <mergeCell ref="I25:N25"/>
    <mergeCell ref="C26:F26"/>
    <mergeCell ref="B27:C27"/>
    <mergeCell ref="D27:F27"/>
    <mergeCell ref="I27:R27"/>
    <mergeCell ref="P33:P34"/>
    <mergeCell ref="Q33:Q34"/>
    <mergeCell ref="R33:R34"/>
    <mergeCell ref="J34:L34"/>
    <mergeCell ref="I35:Q35"/>
    <mergeCell ref="C36:D36"/>
    <mergeCell ref="N31:N32"/>
    <mergeCell ref="O31:O32"/>
    <mergeCell ref="P31:P32"/>
    <mergeCell ref="Q31:Q32"/>
    <mergeCell ref="R31:R32"/>
    <mergeCell ref="I33:I34"/>
    <mergeCell ref="J33:L33"/>
    <mergeCell ref="M33:M34"/>
    <mergeCell ref="N33:N34"/>
    <mergeCell ref="O33:O34"/>
    <mergeCell ref="C41:E41"/>
    <mergeCell ref="I41:M41"/>
    <mergeCell ref="C42:E42"/>
    <mergeCell ref="I42:M42"/>
    <mergeCell ref="C43:E43"/>
    <mergeCell ref="I43:O43"/>
    <mergeCell ref="B37:D37"/>
    <mergeCell ref="I37:P37"/>
    <mergeCell ref="I38:M39"/>
    <mergeCell ref="B39:C39"/>
    <mergeCell ref="D39:F39"/>
    <mergeCell ref="C40:E40"/>
    <mergeCell ref="I40:M40"/>
    <mergeCell ref="O47:O48"/>
    <mergeCell ref="C48:F48"/>
    <mergeCell ref="B49:B52"/>
    <mergeCell ref="C49:F52"/>
    <mergeCell ref="I49:M50"/>
    <mergeCell ref="N49:N50"/>
    <mergeCell ref="O49:O50"/>
    <mergeCell ref="C44:E44"/>
    <mergeCell ref="C45:E45"/>
    <mergeCell ref="I45:M46"/>
    <mergeCell ref="N45:N46"/>
    <mergeCell ref="O45:O46"/>
    <mergeCell ref="C46:E46"/>
    <mergeCell ref="B54:C54"/>
    <mergeCell ref="D54:F54"/>
    <mergeCell ref="C55:E55"/>
    <mergeCell ref="C56:E56"/>
    <mergeCell ref="C57:E57"/>
    <mergeCell ref="C58:E58"/>
    <mergeCell ref="B47:E47"/>
    <mergeCell ref="I47:M48"/>
    <mergeCell ref="N47:N48"/>
    <mergeCell ref="C65:D65"/>
    <mergeCell ref="C66:D66"/>
    <mergeCell ref="C67:D67"/>
    <mergeCell ref="C68:D68"/>
    <mergeCell ref="C69:D69"/>
    <mergeCell ref="C70:D70"/>
    <mergeCell ref="C59:E59"/>
    <mergeCell ref="B60:E60"/>
    <mergeCell ref="C61:F61"/>
    <mergeCell ref="B63:C63"/>
    <mergeCell ref="D63:F63"/>
    <mergeCell ref="B64:C64"/>
    <mergeCell ref="D64:F64"/>
    <mergeCell ref="B78:C78"/>
    <mergeCell ref="D78:F78"/>
    <mergeCell ref="C79:D79"/>
    <mergeCell ref="C80:D80"/>
    <mergeCell ref="C81:D81"/>
    <mergeCell ref="B82:D82"/>
    <mergeCell ref="C71:D71"/>
    <mergeCell ref="C72:D72"/>
    <mergeCell ref="C73:D73"/>
    <mergeCell ref="B74:D74"/>
    <mergeCell ref="C75:F75"/>
    <mergeCell ref="C76:F76"/>
    <mergeCell ref="C89:D89"/>
    <mergeCell ref="B90:D90"/>
    <mergeCell ref="B92:C92"/>
    <mergeCell ref="D92:F92"/>
    <mergeCell ref="C93:D93"/>
    <mergeCell ref="C94:D94"/>
    <mergeCell ref="C83:D83"/>
    <mergeCell ref="B84:D84"/>
    <mergeCell ref="B86:C86"/>
    <mergeCell ref="D86:F86"/>
    <mergeCell ref="C87:D87"/>
    <mergeCell ref="C88:D88"/>
    <mergeCell ref="C101:F101"/>
    <mergeCell ref="C102:F102"/>
    <mergeCell ref="B104:C104"/>
    <mergeCell ref="D104:F104"/>
    <mergeCell ref="C105:D105"/>
    <mergeCell ref="C106:D106"/>
    <mergeCell ref="C95:D95"/>
    <mergeCell ref="C96:D96"/>
    <mergeCell ref="C97:D97"/>
    <mergeCell ref="C98:D98"/>
    <mergeCell ref="C99:D99"/>
    <mergeCell ref="B100:D100"/>
    <mergeCell ref="C113:D113"/>
    <mergeCell ref="B114:D114"/>
    <mergeCell ref="B116:C116"/>
    <mergeCell ref="D116:F116"/>
    <mergeCell ref="C117:D117"/>
    <mergeCell ref="C118:D118"/>
    <mergeCell ref="C107:D107"/>
    <mergeCell ref="C108:D108"/>
    <mergeCell ref="C109:D109"/>
    <mergeCell ref="C110:D110"/>
    <mergeCell ref="C111:D111"/>
    <mergeCell ref="B112:D112"/>
    <mergeCell ref="B126:C126"/>
    <mergeCell ref="D126:F126"/>
    <mergeCell ref="C127:D127"/>
    <mergeCell ref="C128:D128"/>
    <mergeCell ref="B130:D130"/>
    <mergeCell ref="B131:B135"/>
    <mergeCell ref="C131:F131"/>
    <mergeCell ref="C132:C133"/>
    <mergeCell ref="C119:D119"/>
    <mergeCell ref="C120:D120"/>
    <mergeCell ref="C121:D121"/>
    <mergeCell ref="C122:D122"/>
    <mergeCell ref="C123:D123"/>
    <mergeCell ref="B124:D124"/>
    <mergeCell ref="B143:E143"/>
    <mergeCell ref="C144:E144"/>
    <mergeCell ref="C145:E145"/>
    <mergeCell ref="C146:E146"/>
    <mergeCell ref="C147:E147"/>
    <mergeCell ref="B148:E148"/>
    <mergeCell ref="B136:D136"/>
    <mergeCell ref="B137:D137"/>
    <mergeCell ref="C138:F138"/>
    <mergeCell ref="C139:F139"/>
    <mergeCell ref="C140:F140"/>
    <mergeCell ref="B142:F142"/>
    <mergeCell ref="E157:F157"/>
    <mergeCell ref="E158:F158"/>
    <mergeCell ref="B159:F159"/>
    <mergeCell ref="E160:F160"/>
    <mergeCell ref="B161:F161"/>
    <mergeCell ref="C162:D162"/>
    <mergeCell ref="E162:F162"/>
    <mergeCell ref="C149:E149"/>
    <mergeCell ref="B150:E150"/>
    <mergeCell ref="B152:F152"/>
    <mergeCell ref="E154:F154"/>
    <mergeCell ref="B155:F155"/>
    <mergeCell ref="B156:F156"/>
    <mergeCell ref="B167:C167"/>
    <mergeCell ref="E167:F167"/>
    <mergeCell ref="B168:C168"/>
    <mergeCell ref="E168:F168"/>
    <mergeCell ref="B170:F170"/>
    <mergeCell ref="B171:F171"/>
    <mergeCell ref="C163:D163"/>
    <mergeCell ref="E163:F163"/>
    <mergeCell ref="E164:F164"/>
    <mergeCell ref="C165:D165"/>
    <mergeCell ref="E165:F165"/>
    <mergeCell ref="B166:F166"/>
    <mergeCell ref="B178:C178"/>
    <mergeCell ref="D178:F178"/>
    <mergeCell ref="C179:E179"/>
    <mergeCell ref="C187:D187"/>
    <mergeCell ref="B188:D188"/>
    <mergeCell ref="B190:C190"/>
    <mergeCell ref="D190:F190"/>
    <mergeCell ref="B172:F172"/>
    <mergeCell ref="C173:E173"/>
    <mergeCell ref="C174:E174"/>
    <mergeCell ref="C175:E175"/>
    <mergeCell ref="C176:E176"/>
    <mergeCell ref="C177:F177"/>
    <mergeCell ref="C197:E197"/>
    <mergeCell ref="B198:E198"/>
    <mergeCell ref="C199:F199"/>
    <mergeCell ref="C200:F200"/>
    <mergeCell ref="B202:C202"/>
    <mergeCell ref="D202:F202"/>
    <mergeCell ref="C191:E191"/>
    <mergeCell ref="C192:E192"/>
    <mergeCell ref="C193:E193"/>
    <mergeCell ref="C194:E194"/>
    <mergeCell ref="C195:E195"/>
    <mergeCell ref="C196:E196"/>
    <mergeCell ref="C209:F209"/>
    <mergeCell ref="B211:C211"/>
    <mergeCell ref="D211:F211"/>
    <mergeCell ref="B212:C212"/>
    <mergeCell ref="D212:F212"/>
    <mergeCell ref="C213:D213"/>
    <mergeCell ref="C203:E203"/>
    <mergeCell ref="C204:E204"/>
    <mergeCell ref="C205:E205"/>
    <mergeCell ref="C206:E206"/>
    <mergeCell ref="C207:E207"/>
    <mergeCell ref="B208:E208"/>
    <mergeCell ref="C220:D220"/>
    <mergeCell ref="C221:D221"/>
    <mergeCell ref="B222:D222"/>
    <mergeCell ref="C223:F223"/>
    <mergeCell ref="C224:F224"/>
    <mergeCell ref="B226:C226"/>
    <mergeCell ref="D226:F226"/>
    <mergeCell ref="C214:D214"/>
    <mergeCell ref="C215:D215"/>
    <mergeCell ref="C216:D216"/>
    <mergeCell ref="C217:D217"/>
    <mergeCell ref="C218:D218"/>
    <mergeCell ref="C219:D219"/>
    <mergeCell ref="B234:C234"/>
    <mergeCell ref="D234:F234"/>
    <mergeCell ref="C235:D235"/>
    <mergeCell ref="C236:D236"/>
    <mergeCell ref="C237:D237"/>
    <mergeCell ref="B238:D238"/>
    <mergeCell ref="C227:D227"/>
    <mergeCell ref="C228:D228"/>
    <mergeCell ref="C229:D229"/>
    <mergeCell ref="B230:D230"/>
    <mergeCell ref="C231:D231"/>
    <mergeCell ref="B232:D232"/>
    <mergeCell ref="C245:D245"/>
    <mergeCell ref="C246:D246"/>
    <mergeCell ref="C247:D247"/>
    <mergeCell ref="B248:D248"/>
    <mergeCell ref="C249:F249"/>
    <mergeCell ref="C250:F250"/>
    <mergeCell ref="B240:C240"/>
    <mergeCell ref="D240:F240"/>
    <mergeCell ref="C241:D241"/>
    <mergeCell ref="C242:D242"/>
    <mergeCell ref="C243:D243"/>
    <mergeCell ref="C244:D244"/>
    <mergeCell ref="C257:D257"/>
    <mergeCell ref="C258:D258"/>
    <mergeCell ref="C259:D259"/>
    <mergeCell ref="B260:D260"/>
    <mergeCell ref="C261:D261"/>
    <mergeCell ref="B262:D262"/>
    <mergeCell ref="B252:C252"/>
    <mergeCell ref="D252:F252"/>
    <mergeCell ref="C253:D253"/>
    <mergeCell ref="C254:D254"/>
    <mergeCell ref="C255:D255"/>
    <mergeCell ref="C256:D256"/>
    <mergeCell ref="C269:D269"/>
    <mergeCell ref="C270:D270"/>
    <mergeCell ref="C271:D271"/>
    <mergeCell ref="B272:D272"/>
    <mergeCell ref="B274:C274"/>
    <mergeCell ref="D274:F274"/>
    <mergeCell ref="B264:C264"/>
    <mergeCell ref="D264:F264"/>
    <mergeCell ref="C265:D265"/>
    <mergeCell ref="C266:D266"/>
    <mergeCell ref="C267:D267"/>
    <mergeCell ref="C268:D268"/>
    <mergeCell ref="B284:D284"/>
    <mergeCell ref="B285:D285"/>
    <mergeCell ref="C286:F286"/>
    <mergeCell ref="C287:F287"/>
    <mergeCell ref="C288:F288"/>
    <mergeCell ref="B290:F290"/>
    <mergeCell ref="C275:D275"/>
    <mergeCell ref="C276:D276"/>
    <mergeCell ref="B278:D278"/>
    <mergeCell ref="B279:B283"/>
    <mergeCell ref="C279:F279"/>
    <mergeCell ref="C280:C281"/>
    <mergeCell ref="C297:E297"/>
    <mergeCell ref="B298:E298"/>
    <mergeCell ref="B300:F300"/>
    <mergeCell ref="B303:F303"/>
    <mergeCell ref="B291:E291"/>
    <mergeCell ref="C292:E292"/>
    <mergeCell ref="C293:E293"/>
    <mergeCell ref="C294:E294"/>
    <mergeCell ref="C295:E295"/>
    <mergeCell ref="B296:E29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5" orientation="portrait" r:id="rId1"/>
  <rowBreaks count="4" manualBreakCount="4">
    <brk id="62" max="18" man="1"/>
    <brk id="125" max="18" man="1"/>
    <brk id="201" max="18" man="1"/>
    <brk id="273" max="18" man="1"/>
  </rowBreaks>
  <colBreaks count="2" manualBreakCount="2">
    <brk id="7" max="1048575" man="1"/>
    <brk id="19" max="1048575" man="1"/>
  </colBreaks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0000000}">
          <x14:formula1>
            <xm:f>'#listas#'!$E$1:$E$22</xm:f>
          </x14:formula1>
          <xm:sqref>C2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B1:H155"/>
  <sheetViews>
    <sheetView showGridLines="0" view="pageBreakPreview" topLeftCell="A18" zoomScale="115" zoomScaleNormal="115" zoomScaleSheetLayoutView="115" workbookViewId="0">
      <selection activeCell="C49" sqref="C49:F52"/>
    </sheetView>
  </sheetViews>
  <sheetFormatPr defaultColWidth="9.140625" defaultRowHeight="15" customHeight="1"/>
  <cols>
    <col min="1" max="1" width="4.42578125" style="5" customWidth="1"/>
    <col min="2" max="2" width="12.85546875" style="44" customWidth="1"/>
    <col min="3" max="3" width="43.42578125" style="44" customWidth="1"/>
    <col min="4" max="4" width="18.85546875" style="44" bestFit="1" customWidth="1"/>
    <col min="5" max="5" width="10.140625" style="85" bestFit="1" customWidth="1"/>
    <col min="6" max="6" width="11.7109375" style="45" customWidth="1"/>
    <col min="7" max="7" width="3.28515625" style="5" customWidth="1"/>
    <col min="8" max="8" width="12.140625" style="52" customWidth="1"/>
    <col min="9" max="16384" width="9.140625" style="5"/>
  </cols>
  <sheetData>
    <row r="1" spans="2:8" ht="15" customHeight="1">
      <c r="H1" s="47"/>
    </row>
    <row r="2" spans="2:8" s="49" customFormat="1" ht="15" customHeight="1">
      <c r="B2" s="8" t="s">
        <v>55</v>
      </c>
      <c r="C2" s="50" t="s">
        <v>21</v>
      </c>
      <c r="D2" s="8" t="s">
        <v>59</v>
      </c>
      <c r="E2" s="462"/>
      <c r="F2" s="462"/>
      <c r="H2" s="51"/>
    </row>
    <row r="3" spans="2:8" ht="21">
      <c r="B3" s="466"/>
      <c r="C3" s="466"/>
      <c r="D3" s="466"/>
      <c r="E3" s="466"/>
      <c r="F3" s="466"/>
    </row>
    <row r="4" spans="2:8" ht="15" customHeight="1">
      <c r="B4" s="362" t="s">
        <v>60</v>
      </c>
      <c r="C4" s="362"/>
      <c r="D4" s="362"/>
      <c r="E4" s="362"/>
      <c r="F4" s="362"/>
    </row>
    <row r="5" spans="2:8" ht="15" customHeight="1">
      <c r="B5" s="34" t="s">
        <v>62</v>
      </c>
      <c r="C5" s="30"/>
      <c r="D5" s="103" t="s">
        <v>63</v>
      </c>
      <c r="E5" s="468"/>
      <c r="F5" s="468"/>
    </row>
    <row r="6" spans="2:8" ht="15" customHeight="1">
      <c r="B6" s="34" t="s">
        <v>65</v>
      </c>
      <c r="C6" s="31"/>
      <c r="D6" s="34" t="s">
        <v>66</v>
      </c>
      <c r="E6" s="468"/>
      <c r="F6" s="468"/>
    </row>
    <row r="7" spans="2:8" ht="15" customHeight="1">
      <c r="B7" s="362" t="s">
        <v>67</v>
      </c>
      <c r="C7" s="362"/>
      <c r="D7" s="362"/>
      <c r="E7" s="362"/>
      <c r="F7" s="362"/>
    </row>
    <row r="8" spans="2:8" ht="15" customHeight="1">
      <c r="B8" s="459" t="s">
        <v>69</v>
      </c>
      <c r="C8" s="460"/>
      <c r="D8" s="34" t="s">
        <v>70</v>
      </c>
      <c r="E8" s="354"/>
      <c r="F8" s="355"/>
    </row>
    <row r="9" spans="2:8" ht="15" customHeight="1">
      <c r="B9" s="362" t="s">
        <v>75</v>
      </c>
      <c r="C9" s="362"/>
      <c r="D9" s="362"/>
      <c r="E9" s="362"/>
      <c r="F9" s="362"/>
    </row>
    <row r="10" spans="2:8" ht="15" customHeight="1">
      <c r="B10" s="34" t="s">
        <v>78</v>
      </c>
      <c r="C10" s="290" t="s">
        <v>79</v>
      </c>
      <c r="D10" s="291"/>
      <c r="E10" s="461"/>
      <c r="F10" s="461"/>
    </row>
    <row r="11" spans="2:8" ht="15" customHeight="1">
      <c r="B11" s="34" t="s">
        <v>83</v>
      </c>
      <c r="C11" s="290" t="s">
        <v>84</v>
      </c>
      <c r="D11" s="291"/>
      <c r="E11" s="300" t="s">
        <v>85</v>
      </c>
      <c r="F11" s="302"/>
    </row>
    <row r="12" spans="2:8" ht="15" customHeight="1">
      <c r="B12" s="34" t="s">
        <v>86</v>
      </c>
      <c r="C12" s="53" t="s">
        <v>87</v>
      </c>
      <c r="D12" s="54"/>
      <c r="E12" s="300">
        <v>2015</v>
      </c>
      <c r="F12" s="302"/>
    </row>
    <row r="13" spans="2:8" ht="15" customHeight="1">
      <c r="B13" s="34" t="s">
        <v>88</v>
      </c>
      <c r="C13" s="322" t="s">
        <v>89</v>
      </c>
      <c r="D13" s="328"/>
      <c r="E13" s="300">
        <v>12</v>
      </c>
      <c r="F13" s="302"/>
    </row>
    <row r="14" spans="2:8" ht="15" customHeight="1">
      <c r="B14" s="362" t="s">
        <v>90</v>
      </c>
      <c r="C14" s="362"/>
      <c r="D14" s="362"/>
      <c r="E14" s="362"/>
      <c r="F14" s="362"/>
    </row>
    <row r="15" spans="2:8" ht="15" customHeight="1">
      <c r="B15" s="451" t="s">
        <v>91</v>
      </c>
      <c r="C15" s="451"/>
      <c r="D15" s="32" t="s">
        <v>92</v>
      </c>
      <c r="E15" s="452" t="s">
        <v>243</v>
      </c>
      <c r="F15" s="453"/>
    </row>
    <row r="16" spans="2:8" ht="15" customHeight="1">
      <c r="B16" s="469" t="s">
        <v>262</v>
      </c>
      <c r="C16" s="469"/>
      <c r="D16" s="9" t="s">
        <v>95</v>
      </c>
      <c r="E16" s="456">
        <v>1</v>
      </c>
      <c r="F16" s="456"/>
      <c r="H16" s="5"/>
    </row>
    <row r="17" spans="2:8" ht="15" customHeight="1">
      <c r="H17" s="5"/>
    </row>
    <row r="18" spans="2:8" ht="12.75" customHeight="1">
      <c r="B18" s="133"/>
      <c r="C18" s="133"/>
      <c r="D18" s="133"/>
      <c r="E18" s="133"/>
      <c r="F18" s="133"/>
      <c r="H18" s="5"/>
    </row>
    <row r="19" spans="2:8" ht="15" customHeight="1">
      <c r="B19" s="362" t="s">
        <v>71</v>
      </c>
      <c r="C19" s="362"/>
      <c r="D19" s="362"/>
      <c r="E19" s="362"/>
      <c r="F19" s="362"/>
      <c r="H19" s="5"/>
    </row>
    <row r="20" spans="2:8" ht="15" customHeight="1">
      <c r="B20" s="362" t="s">
        <v>96</v>
      </c>
      <c r="C20" s="362"/>
      <c r="D20" s="362"/>
      <c r="E20" s="362"/>
      <c r="F20" s="362"/>
      <c r="H20" s="5"/>
    </row>
    <row r="21" spans="2:8" ht="15" customHeight="1">
      <c r="B21" s="437" t="s">
        <v>98</v>
      </c>
      <c r="C21" s="437"/>
      <c r="D21" s="437"/>
      <c r="E21" s="437"/>
      <c r="F21" s="437"/>
      <c r="H21" s="5"/>
    </row>
    <row r="22" spans="2:8" ht="15" customHeight="1">
      <c r="B22" s="34">
        <v>1</v>
      </c>
      <c r="C22" s="449" t="s">
        <v>99</v>
      </c>
      <c r="D22" s="449"/>
      <c r="E22" s="449"/>
      <c r="F22" s="56"/>
      <c r="H22" s="5"/>
    </row>
    <row r="23" spans="2:8" ht="15" customHeight="1">
      <c r="B23" s="34">
        <v>2</v>
      </c>
      <c r="C23" s="437" t="s">
        <v>100</v>
      </c>
      <c r="D23" s="437"/>
      <c r="E23" s="437"/>
      <c r="F23" s="57">
        <v>942.37</v>
      </c>
      <c r="H23" s="5"/>
    </row>
    <row r="24" spans="2:8" ht="15" customHeight="1">
      <c r="B24" s="34">
        <v>3</v>
      </c>
      <c r="C24" s="437" t="s">
        <v>101</v>
      </c>
      <c r="D24" s="437"/>
      <c r="E24" s="437"/>
      <c r="F24" s="56"/>
      <c r="H24" s="5"/>
    </row>
    <row r="25" spans="2:8" ht="15" customHeight="1">
      <c r="B25" s="34">
        <v>4</v>
      </c>
      <c r="C25" s="437" t="s">
        <v>102</v>
      </c>
      <c r="D25" s="437"/>
      <c r="E25" s="437"/>
      <c r="F25" s="58">
        <v>42522</v>
      </c>
      <c r="H25" s="5"/>
    </row>
    <row r="26" spans="2:8" ht="15" customHeight="1">
      <c r="B26" s="37" t="s">
        <v>103</v>
      </c>
      <c r="C26" s="438" t="s">
        <v>104</v>
      </c>
      <c r="D26" s="438"/>
      <c r="E26" s="438"/>
      <c r="F26" s="438"/>
      <c r="H26" s="5"/>
    </row>
    <row r="27" spans="2:8" ht="15" customHeight="1">
      <c r="B27" s="362" t="s">
        <v>105</v>
      </c>
      <c r="C27" s="362"/>
      <c r="D27" s="362" t="s">
        <v>106</v>
      </c>
      <c r="E27" s="362"/>
      <c r="F27" s="362"/>
      <c r="H27" s="5"/>
    </row>
    <row r="28" spans="2:8" ht="15" customHeight="1">
      <c r="B28" s="101">
        <v>1</v>
      </c>
      <c r="C28" s="362" t="s">
        <v>107</v>
      </c>
      <c r="D28" s="362"/>
      <c r="E28" s="362"/>
      <c r="F28" s="68" t="s">
        <v>108</v>
      </c>
      <c r="H28" s="5"/>
    </row>
    <row r="29" spans="2:8" ht="15" customHeight="1">
      <c r="B29" s="34" t="s">
        <v>78</v>
      </c>
      <c r="C29" s="59" t="s">
        <v>109</v>
      </c>
      <c r="D29" s="60"/>
      <c r="E29" s="80"/>
      <c r="F29" s="61">
        <f>F23</f>
        <v>942.37</v>
      </c>
      <c r="H29" s="5"/>
    </row>
    <row r="30" spans="2:8" ht="15" customHeight="1">
      <c r="B30" s="34" t="s">
        <v>83</v>
      </c>
      <c r="C30" s="59" t="s">
        <v>110</v>
      </c>
      <c r="D30" s="60"/>
      <c r="E30" s="80"/>
      <c r="F30" s="61">
        <f>$F$29*E30</f>
        <v>0</v>
      </c>
      <c r="H30" s="5"/>
    </row>
    <row r="31" spans="2:8" ht="15" customHeight="1">
      <c r="B31" s="34" t="s">
        <v>86</v>
      </c>
      <c r="C31" s="118" t="s">
        <v>111</v>
      </c>
      <c r="D31" s="119"/>
      <c r="E31" s="135">
        <v>0.2</v>
      </c>
      <c r="F31" s="130">
        <f t="shared" ref="F31:F36" si="0">$F$29*E31</f>
        <v>188.47</v>
      </c>
      <c r="H31" s="5"/>
    </row>
    <row r="32" spans="2:8" ht="15" customHeight="1">
      <c r="B32" s="34" t="s">
        <v>88</v>
      </c>
      <c r="C32" s="59" t="s">
        <v>112</v>
      </c>
      <c r="D32" s="60"/>
      <c r="E32" s="80"/>
      <c r="F32" s="61">
        <f t="shared" si="0"/>
        <v>0</v>
      </c>
      <c r="H32" s="5"/>
    </row>
    <row r="33" spans="2:8" ht="15" customHeight="1">
      <c r="B33" s="34" t="s">
        <v>113</v>
      </c>
      <c r="C33" s="59" t="s">
        <v>114</v>
      </c>
      <c r="D33" s="60"/>
      <c r="E33" s="80"/>
      <c r="F33" s="61">
        <f t="shared" si="0"/>
        <v>0</v>
      </c>
      <c r="H33" s="5"/>
    </row>
    <row r="34" spans="2:8" ht="15" customHeight="1">
      <c r="B34" s="34" t="s">
        <v>116</v>
      </c>
      <c r="C34" s="59" t="s">
        <v>117</v>
      </c>
      <c r="D34" s="60"/>
      <c r="E34" s="80"/>
      <c r="F34" s="61">
        <f t="shared" si="0"/>
        <v>0</v>
      </c>
      <c r="H34" s="5"/>
    </row>
    <row r="35" spans="2:8" ht="15" customHeight="1">
      <c r="B35" s="34" t="s">
        <v>122</v>
      </c>
      <c r="C35" s="59" t="s">
        <v>123</v>
      </c>
      <c r="D35" s="60"/>
      <c r="E35" s="80"/>
      <c r="F35" s="61">
        <f t="shared" si="0"/>
        <v>0</v>
      </c>
      <c r="H35" s="5"/>
    </row>
    <row r="36" spans="2:8" ht="15" customHeight="1">
      <c r="B36" s="102" t="s">
        <v>125</v>
      </c>
      <c r="C36" s="290" t="s">
        <v>126</v>
      </c>
      <c r="D36" s="292"/>
      <c r="E36" s="81"/>
      <c r="F36" s="61">
        <f t="shared" si="0"/>
        <v>0</v>
      </c>
      <c r="H36" s="5"/>
    </row>
    <row r="37" spans="2:8" ht="15" customHeight="1">
      <c r="B37" s="293" t="s">
        <v>128</v>
      </c>
      <c r="C37" s="294"/>
      <c r="D37" s="295"/>
      <c r="E37" s="86">
        <f>SUM(E30:E36)</f>
        <v>0.2</v>
      </c>
      <c r="F37" s="69">
        <f>SUM(F29:F36)</f>
        <v>1130.8399999999999</v>
      </c>
      <c r="H37" s="5"/>
    </row>
    <row r="38" spans="2:8" ht="15" customHeight="1">
      <c r="H38" s="5"/>
    </row>
    <row r="39" spans="2:8" ht="15" customHeight="1">
      <c r="B39" s="362" t="s">
        <v>130</v>
      </c>
      <c r="C39" s="362"/>
      <c r="D39" s="362" t="s">
        <v>131</v>
      </c>
      <c r="E39" s="362"/>
      <c r="F39" s="362"/>
      <c r="H39" s="5"/>
    </row>
    <row r="40" spans="2:8" ht="15" customHeight="1">
      <c r="B40" s="101">
        <v>2</v>
      </c>
      <c r="C40" s="362" t="s">
        <v>132</v>
      </c>
      <c r="D40" s="362"/>
      <c r="E40" s="362"/>
      <c r="F40" s="68" t="s">
        <v>108</v>
      </c>
      <c r="H40" s="5"/>
    </row>
    <row r="41" spans="2:8" ht="15" customHeight="1">
      <c r="B41" s="102" t="s">
        <v>78</v>
      </c>
      <c r="C41" s="334" t="s">
        <v>133</v>
      </c>
      <c r="D41" s="335"/>
      <c r="E41" s="336"/>
      <c r="F41" s="120">
        <f>(2*2*22)-(F29*0.06)</f>
        <v>31.46</v>
      </c>
      <c r="H41" s="5"/>
    </row>
    <row r="42" spans="2:8" ht="15" customHeight="1">
      <c r="B42" s="102" t="s">
        <v>83</v>
      </c>
      <c r="C42" s="393" t="s">
        <v>134</v>
      </c>
      <c r="D42" s="393"/>
      <c r="E42" s="393"/>
      <c r="F42" s="33">
        <v>0</v>
      </c>
      <c r="H42" s="5"/>
    </row>
    <row r="43" spans="2:8" ht="15" customHeight="1">
      <c r="B43" s="34" t="s">
        <v>86</v>
      </c>
      <c r="C43" s="382" t="s">
        <v>135</v>
      </c>
      <c r="D43" s="382"/>
      <c r="E43" s="382"/>
      <c r="F43" s="62">
        <v>0</v>
      </c>
      <c r="H43" s="5"/>
    </row>
    <row r="44" spans="2:8" ht="15" customHeight="1">
      <c r="B44" s="34" t="s">
        <v>88</v>
      </c>
      <c r="C44" s="382" t="s">
        <v>136</v>
      </c>
      <c r="D44" s="382"/>
      <c r="E44" s="382"/>
      <c r="F44" s="62">
        <v>0</v>
      </c>
      <c r="H44" s="5"/>
    </row>
    <row r="45" spans="2:8" ht="15" customHeight="1">
      <c r="B45" s="34" t="s">
        <v>113</v>
      </c>
      <c r="C45" s="382" t="s">
        <v>138</v>
      </c>
      <c r="D45" s="382"/>
      <c r="E45" s="382"/>
      <c r="F45" s="62">
        <v>0</v>
      </c>
      <c r="H45" s="5"/>
    </row>
    <row r="46" spans="2:8" ht="15" customHeight="1">
      <c r="B46" s="102" t="s">
        <v>116</v>
      </c>
      <c r="C46" s="382" t="s">
        <v>258</v>
      </c>
      <c r="D46" s="382"/>
      <c r="E46" s="382"/>
      <c r="F46" s="62">
        <v>0</v>
      </c>
      <c r="H46" s="5"/>
    </row>
    <row r="47" spans="2:8" ht="15" customHeight="1">
      <c r="B47" s="362" t="s">
        <v>143</v>
      </c>
      <c r="C47" s="362"/>
      <c r="D47" s="362"/>
      <c r="E47" s="362"/>
      <c r="F47" s="69">
        <f>SUM(F41:F46)</f>
        <v>31.46</v>
      </c>
      <c r="H47" s="5"/>
    </row>
    <row r="48" spans="2:8" ht="27.75" customHeight="1">
      <c r="B48" s="34" t="s">
        <v>145</v>
      </c>
      <c r="C48" s="309" t="s">
        <v>146</v>
      </c>
      <c r="D48" s="310"/>
      <c r="E48" s="310"/>
      <c r="F48" s="311"/>
      <c r="H48" s="5"/>
    </row>
    <row r="49" spans="2:8" ht="35.25" customHeight="1">
      <c r="B49" s="317" t="s">
        <v>148</v>
      </c>
      <c r="C49" s="373" t="s">
        <v>149</v>
      </c>
      <c r="D49" s="374"/>
      <c r="E49" s="374"/>
      <c r="F49" s="375"/>
      <c r="H49" s="5"/>
    </row>
    <row r="50" spans="2:8" ht="11.25" customHeight="1">
      <c r="B50" s="318"/>
      <c r="C50" s="376"/>
      <c r="D50" s="377"/>
      <c r="E50" s="377"/>
      <c r="F50" s="378"/>
      <c r="H50" s="5"/>
    </row>
    <row r="51" spans="2:8" ht="21.75" customHeight="1">
      <c r="B51" s="318"/>
      <c r="C51" s="376"/>
      <c r="D51" s="377"/>
      <c r="E51" s="377"/>
      <c r="F51" s="378"/>
      <c r="H51" s="5"/>
    </row>
    <row r="52" spans="2:8" ht="20.25" customHeight="1">
      <c r="B52" s="319"/>
      <c r="C52" s="379"/>
      <c r="D52" s="380"/>
      <c r="E52" s="380"/>
      <c r="F52" s="381"/>
      <c r="H52" s="5"/>
    </row>
    <row r="53" spans="2:8" ht="15" customHeight="1">
      <c r="H53" s="5"/>
    </row>
    <row r="54" spans="2:8" ht="15" customHeight="1">
      <c r="B54" s="293" t="s">
        <v>153</v>
      </c>
      <c r="C54" s="295"/>
      <c r="D54" s="293" t="s">
        <v>154</v>
      </c>
      <c r="E54" s="294"/>
      <c r="F54" s="295"/>
      <c r="H54" s="5"/>
    </row>
    <row r="55" spans="2:8" ht="15" customHeight="1">
      <c r="B55" s="101">
        <v>3</v>
      </c>
      <c r="C55" s="293" t="s">
        <v>155</v>
      </c>
      <c r="D55" s="294"/>
      <c r="E55" s="295"/>
      <c r="F55" s="68" t="s">
        <v>108</v>
      </c>
      <c r="H55" s="5"/>
    </row>
    <row r="56" spans="2:8" ht="15" customHeight="1">
      <c r="B56" s="34" t="s">
        <v>78</v>
      </c>
      <c r="C56" s="334" t="s">
        <v>156</v>
      </c>
      <c r="D56" s="335"/>
      <c r="E56" s="336"/>
      <c r="F56" s="116">
        <v>12</v>
      </c>
      <c r="H56" s="5"/>
    </row>
    <row r="57" spans="2:8" ht="15" customHeight="1">
      <c r="B57" s="34" t="s">
        <v>83</v>
      </c>
      <c r="C57" s="334" t="s">
        <v>157</v>
      </c>
      <c r="D57" s="335"/>
      <c r="E57" s="336"/>
      <c r="F57" s="116">
        <f>'[2]Auxiliar de Saúde Bucal'!$BF$12</f>
        <v>59.79</v>
      </c>
      <c r="H57" s="5"/>
    </row>
    <row r="58" spans="2:8" ht="15" customHeight="1">
      <c r="B58" s="34" t="s">
        <v>86</v>
      </c>
      <c r="C58" s="290" t="s">
        <v>158</v>
      </c>
      <c r="D58" s="291"/>
      <c r="E58" s="292"/>
      <c r="F58" s="35">
        <v>0</v>
      </c>
      <c r="H58" s="5"/>
    </row>
    <row r="59" spans="2:8" ht="15" customHeight="1">
      <c r="B59" s="102" t="s">
        <v>88</v>
      </c>
      <c r="C59" s="322" t="s">
        <v>259</v>
      </c>
      <c r="D59" s="328"/>
      <c r="E59" s="323"/>
      <c r="F59" s="36">
        <f>F58*-0.8</f>
        <v>0</v>
      </c>
      <c r="H59" s="5"/>
    </row>
    <row r="60" spans="2:8" ht="15" customHeight="1">
      <c r="B60" s="293" t="s">
        <v>159</v>
      </c>
      <c r="C60" s="294"/>
      <c r="D60" s="294"/>
      <c r="E60" s="295"/>
      <c r="F60" s="69">
        <f>SUM(F56:F59)</f>
        <v>71.790000000000006</v>
      </c>
      <c r="H60" s="5"/>
    </row>
    <row r="61" spans="2:8" ht="15" customHeight="1">
      <c r="B61" s="37" t="s">
        <v>103</v>
      </c>
      <c r="C61" s="306" t="s">
        <v>160</v>
      </c>
      <c r="D61" s="307"/>
      <c r="E61" s="307"/>
      <c r="F61" s="308"/>
      <c r="H61" s="5"/>
    </row>
    <row r="62" spans="2:8" ht="15" customHeight="1">
      <c r="H62" s="5"/>
    </row>
    <row r="63" spans="2:8" ht="15" customHeight="1">
      <c r="B63" s="293" t="s">
        <v>161</v>
      </c>
      <c r="C63" s="295"/>
      <c r="D63" s="293" t="s">
        <v>162</v>
      </c>
      <c r="E63" s="294"/>
      <c r="F63" s="295"/>
      <c r="H63" s="5"/>
    </row>
    <row r="64" spans="2:8" ht="15" customHeight="1">
      <c r="B64" s="293" t="s">
        <v>163</v>
      </c>
      <c r="C64" s="295"/>
      <c r="D64" s="293" t="s">
        <v>164</v>
      </c>
      <c r="E64" s="294"/>
      <c r="F64" s="295"/>
      <c r="H64" s="5"/>
    </row>
    <row r="65" spans="2:8" ht="15" customHeight="1">
      <c r="B65" s="101" t="s">
        <v>165</v>
      </c>
      <c r="C65" s="293" t="s">
        <v>164</v>
      </c>
      <c r="D65" s="295"/>
      <c r="E65" s="87" t="s">
        <v>166</v>
      </c>
      <c r="F65" s="68" t="s">
        <v>108</v>
      </c>
      <c r="H65" s="5"/>
    </row>
    <row r="66" spans="2:8" ht="15" customHeight="1">
      <c r="B66" s="34" t="s">
        <v>78</v>
      </c>
      <c r="C66" s="290" t="s">
        <v>167</v>
      </c>
      <c r="D66" s="292"/>
      <c r="E66" s="80">
        <v>0.2</v>
      </c>
      <c r="F66" s="38">
        <f>E66*$F$37</f>
        <v>226.17</v>
      </c>
      <c r="H66" s="5"/>
    </row>
    <row r="67" spans="2:8" ht="15" customHeight="1">
      <c r="B67" s="34" t="s">
        <v>83</v>
      </c>
      <c r="C67" s="290" t="s">
        <v>168</v>
      </c>
      <c r="D67" s="292"/>
      <c r="E67" s="80">
        <v>1.4999999999999999E-2</v>
      </c>
      <c r="F67" s="38">
        <f t="shared" ref="F67:F73" si="1">E67*$F$37</f>
        <v>16.96</v>
      </c>
      <c r="H67" s="5"/>
    </row>
    <row r="68" spans="2:8" ht="15" customHeight="1">
      <c r="B68" s="34" t="s">
        <v>86</v>
      </c>
      <c r="C68" s="290" t="s">
        <v>169</v>
      </c>
      <c r="D68" s="292"/>
      <c r="E68" s="80">
        <v>0.01</v>
      </c>
      <c r="F68" s="38">
        <f t="shared" si="1"/>
        <v>11.31</v>
      </c>
      <c r="H68" s="5"/>
    </row>
    <row r="69" spans="2:8" ht="15" customHeight="1">
      <c r="B69" s="34" t="s">
        <v>88</v>
      </c>
      <c r="C69" s="290" t="s">
        <v>170</v>
      </c>
      <c r="D69" s="292"/>
      <c r="E69" s="80">
        <v>2E-3</v>
      </c>
      <c r="F69" s="38">
        <f t="shared" si="1"/>
        <v>2.2599999999999998</v>
      </c>
      <c r="H69" s="5"/>
    </row>
    <row r="70" spans="2:8" ht="15" customHeight="1">
      <c r="B70" s="34" t="s">
        <v>113</v>
      </c>
      <c r="C70" s="290" t="s">
        <v>171</v>
      </c>
      <c r="D70" s="292"/>
      <c r="E70" s="80">
        <v>2.5000000000000001E-2</v>
      </c>
      <c r="F70" s="38">
        <f t="shared" si="1"/>
        <v>28.27</v>
      </c>
      <c r="H70" s="5"/>
    </row>
    <row r="71" spans="2:8" ht="15" customHeight="1">
      <c r="B71" s="34" t="s">
        <v>116</v>
      </c>
      <c r="C71" s="290" t="s">
        <v>172</v>
      </c>
      <c r="D71" s="292"/>
      <c r="E71" s="80">
        <v>0.08</v>
      </c>
      <c r="F71" s="38">
        <f t="shared" si="1"/>
        <v>90.47</v>
      </c>
      <c r="H71" s="5"/>
    </row>
    <row r="72" spans="2:8" ht="15" customHeight="1">
      <c r="B72" s="34" t="s">
        <v>122</v>
      </c>
      <c r="C72" s="290" t="s">
        <v>261</v>
      </c>
      <c r="D72" s="292"/>
      <c r="E72" s="80">
        <v>2.3E-2</v>
      </c>
      <c r="F72" s="38">
        <f t="shared" si="1"/>
        <v>26.01</v>
      </c>
      <c r="H72" s="5"/>
    </row>
    <row r="73" spans="2:8" ht="15" customHeight="1">
      <c r="B73" s="34" t="s">
        <v>125</v>
      </c>
      <c r="C73" s="290" t="s">
        <v>174</v>
      </c>
      <c r="D73" s="292"/>
      <c r="E73" s="80">
        <v>6.0000000000000001E-3</v>
      </c>
      <c r="F73" s="38">
        <f t="shared" si="1"/>
        <v>6.79</v>
      </c>
      <c r="H73" s="5"/>
    </row>
    <row r="74" spans="2:8" ht="15" customHeight="1">
      <c r="B74" s="293" t="s">
        <v>57</v>
      </c>
      <c r="C74" s="294"/>
      <c r="D74" s="295"/>
      <c r="E74" s="79">
        <f>SUM(E66:E73)</f>
        <v>0.36099999999999999</v>
      </c>
      <c r="F74" s="69">
        <f>SUM(F66:F73)</f>
        <v>408.24</v>
      </c>
      <c r="H74" s="5"/>
    </row>
    <row r="75" spans="2:8" ht="15" customHeight="1">
      <c r="B75" s="39" t="s">
        <v>145</v>
      </c>
      <c r="C75" s="309" t="s">
        <v>175</v>
      </c>
      <c r="D75" s="310"/>
      <c r="E75" s="310"/>
      <c r="F75" s="311"/>
      <c r="H75" s="5"/>
    </row>
    <row r="76" spans="2:8" ht="15" customHeight="1">
      <c r="B76" s="39" t="s">
        <v>148</v>
      </c>
      <c r="C76" s="331" t="s">
        <v>176</v>
      </c>
      <c r="D76" s="332"/>
      <c r="E76" s="332"/>
      <c r="F76" s="333"/>
      <c r="H76" s="5"/>
    </row>
    <row r="77" spans="2:8" ht="15" customHeight="1">
      <c r="H77" s="5"/>
    </row>
    <row r="78" spans="2:8" ht="15" customHeight="1">
      <c r="B78" s="293" t="s">
        <v>177</v>
      </c>
      <c r="C78" s="295"/>
      <c r="D78" s="293" t="s">
        <v>178</v>
      </c>
      <c r="E78" s="294"/>
      <c r="F78" s="295"/>
      <c r="H78" s="5"/>
    </row>
    <row r="79" spans="2:8" ht="15" customHeight="1">
      <c r="B79" s="101" t="s">
        <v>179</v>
      </c>
      <c r="C79" s="293" t="s">
        <v>180</v>
      </c>
      <c r="D79" s="295"/>
      <c r="E79" s="87" t="s">
        <v>166</v>
      </c>
      <c r="F79" s="68" t="s">
        <v>108</v>
      </c>
      <c r="H79" s="5"/>
    </row>
    <row r="80" spans="2:8" ht="15" customHeight="1">
      <c r="B80" s="34" t="s">
        <v>78</v>
      </c>
      <c r="C80" s="290" t="s">
        <v>181</v>
      </c>
      <c r="D80" s="292"/>
      <c r="E80" s="80">
        <v>8.3330000000000001E-2</v>
      </c>
      <c r="F80" s="38">
        <f>E80*$F$37</f>
        <v>94.23</v>
      </c>
      <c r="H80" s="5"/>
    </row>
    <row r="81" spans="2:8" ht="15" customHeight="1">
      <c r="B81" s="64" t="s">
        <v>83</v>
      </c>
      <c r="C81" s="329" t="s">
        <v>182</v>
      </c>
      <c r="D81" s="330"/>
      <c r="E81" s="82">
        <v>2.7779999999999999E-2</v>
      </c>
      <c r="F81" s="38">
        <f t="shared" ref="F81" si="2">E81*$F$37</f>
        <v>31.41</v>
      </c>
      <c r="H81" s="5"/>
    </row>
    <row r="82" spans="2:8" ht="15" customHeight="1">
      <c r="B82" s="293" t="s">
        <v>183</v>
      </c>
      <c r="C82" s="294"/>
      <c r="D82" s="295"/>
      <c r="E82" s="83">
        <f>SUM(E80:E81)</f>
        <v>0.11111</v>
      </c>
      <c r="F82" s="70">
        <f>SUM(F80:F81)</f>
        <v>125.64</v>
      </c>
      <c r="H82" s="5"/>
    </row>
    <row r="83" spans="2:8" s="63" customFormat="1" ht="15" customHeight="1">
      <c r="B83" s="102" t="s">
        <v>86</v>
      </c>
      <c r="C83" s="322" t="s">
        <v>184</v>
      </c>
      <c r="D83" s="323"/>
      <c r="E83" s="88">
        <f>E74*E82</f>
        <v>4.011E-2</v>
      </c>
      <c r="F83" s="94">
        <f>F82*E74</f>
        <v>45.36</v>
      </c>
    </row>
    <row r="84" spans="2:8" ht="15" customHeight="1">
      <c r="B84" s="293" t="s">
        <v>57</v>
      </c>
      <c r="C84" s="294"/>
      <c r="D84" s="295"/>
      <c r="E84" s="79">
        <f>SUM(E82:E83)</f>
        <v>0.15121999999999999</v>
      </c>
      <c r="F84" s="71">
        <f>SUM(F82:F83)</f>
        <v>171</v>
      </c>
      <c r="H84" s="5"/>
    </row>
    <row r="85" spans="2:8" ht="15" customHeight="1">
      <c r="H85" s="5"/>
    </row>
    <row r="86" spans="2:8" ht="15" customHeight="1">
      <c r="B86" s="293" t="s">
        <v>185</v>
      </c>
      <c r="C86" s="295"/>
      <c r="D86" s="293" t="s">
        <v>186</v>
      </c>
      <c r="E86" s="294"/>
      <c r="F86" s="295"/>
      <c r="H86" s="5"/>
    </row>
    <row r="87" spans="2:8" ht="15" customHeight="1">
      <c r="B87" s="101" t="s">
        <v>187</v>
      </c>
      <c r="C87" s="293" t="s">
        <v>186</v>
      </c>
      <c r="D87" s="295"/>
      <c r="E87" s="87" t="s">
        <v>166</v>
      </c>
      <c r="F87" s="68" t="s">
        <v>108</v>
      </c>
      <c r="H87" s="5"/>
    </row>
    <row r="88" spans="2:8" ht="15" customHeight="1">
      <c r="B88" s="34" t="s">
        <v>78</v>
      </c>
      <c r="C88" s="290" t="s">
        <v>186</v>
      </c>
      <c r="D88" s="292"/>
      <c r="E88" s="78">
        <v>2.8700000000000002E-3</v>
      </c>
      <c r="F88" s="38">
        <f t="shared" ref="F88" si="3">E88*$F$37</f>
        <v>3.25</v>
      </c>
      <c r="H88" s="5"/>
    </row>
    <row r="89" spans="2:8" ht="15" customHeight="1">
      <c r="B89" s="102" t="s">
        <v>83</v>
      </c>
      <c r="C89" s="322" t="s">
        <v>188</v>
      </c>
      <c r="D89" s="323"/>
      <c r="E89" s="88">
        <f>E74*E88</f>
        <v>1.0399999999999999E-3</v>
      </c>
      <c r="F89" s="94">
        <f>F88*E74</f>
        <v>1.17</v>
      </c>
      <c r="H89" s="5"/>
    </row>
    <row r="90" spans="2:8" ht="15" customHeight="1">
      <c r="B90" s="293" t="s">
        <v>57</v>
      </c>
      <c r="C90" s="294"/>
      <c r="D90" s="295"/>
      <c r="E90" s="89">
        <f>SUM(E88:E89)</f>
        <v>3.9100000000000003E-3</v>
      </c>
      <c r="F90" s="69">
        <f>SUM(F88:F89)</f>
        <v>4.42</v>
      </c>
      <c r="H90" s="5"/>
    </row>
    <row r="91" spans="2:8" ht="15" customHeight="1">
      <c r="H91" s="5"/>
    </row>
    <row r="92" spans="2:8" ht="15" customHeight="1">
      <c r="B92" s="293" t="s">
        <v>189</v>
      </c>
      <c r="C92" s="295"/>
      <c r="D92" s="293" t="s">
        <v>190</v>
      </c>
      <c r="E92" s="294"/>
      <c r="F92" s="295"/>
      <c r="H92" s="5"/>
    </row>
    <row r="93" spans="2:8" ht="15" customHeight="1">
      <c r="B93" s="101" t="s">
        <v>191</v>
      </c>
      <c r="C93" s="293" t="s">
        <v>190</v>
      </c>
      <c r="D93" s="295"/>
      <c r="E93" s="87" t="s">
        <v>166</v>
      </c>
      <c r="F93" s="68" t="s">
        <v>108</v>
      </c>
      <c r="H93" s="5"/>
    </row>
    <row r="94" spans="2:8" ht="15" customHeight="1">
      <c r="B94" s="34" t="s">
        <v>78</v>
      </c>
      <c r="C94" s="290" t="s">
        <v>192</v>
      </c>
      <c r="D94" s="292"/>
      <c r="E94" s="78">
        <v>4.1700000000000001E-3</v>
      </c>
      <c r="F94" s="38">
        <f t="shared" ref="F94" si="4">E94*$F$37</f>
        <v>4.72</v>
      </c>
      <c r="H94" s="5"/>
    </row>
    <row r="95" spans="2:8" ht="15" customHeight="1">
      <c r="B95" s="34" t="s">
        <v>83</v>
      </c>
      <c r="C95" s="326" t="s">
        <v>193</v>
      </c>
      <c r="D95" s="327"/>
      <c r="E95" s="78">
        <f>E94*E71</f>
        <v>3.3E-4</v>
      </c>
      <c r="F95" s="38">
        <f>F94*E71</f>
        <v>0.38</v>
      </c>
      <c r="H95" s="5"/>
    </row>
    <row r="96" spans="2:8" ht="15" customHeight="1">
      <c r="B96" s="34" t="s">
        <v>86</v>
      </c>
      <c r="C96" s="290" t="s">
        <v>194</v>
      </c>
      <c r="D96" s="292"/>
      <c r="E96" s="78">
        <v>3.2000000000000001E-2</v>
      </c>
      <c r="F96" s="38">
        <f t="shared" ref="F96:F97" si="5">E96*$F$37</f>
        <v>36.19</v>
      </c>
      <c r="H96" s="5"/>
    </row>
    <row r="97" spans="2:8" ht="15" customHeight="1">
      <c r="B97" s="34" t="s">
        <v>88</v>
      </c>
      <c r="C97" s="290" t="s">
        <v>195</v>
      </c>
      <c r="D97" s="292"/>
      <c r="E97" s="78">
        <v>1.9439999999999999E-2</v>
      </c>
      <c r="F97" s="38">
        <f t="shared" si="5"/>
        <v>21.98</v>
      </c>
      <c r="H97" s="5"/>
    </row>
    <row r="98" spans="2:8" ht="15" customHeight="1">
      <c r="B98" s="34" t="s">
        <v>113</v>
      </c>
      <c r="C98" s="326" t="s">
        <v>196</v>
      </c>
      <c r="D98" s="327"/>
      <c r="E98" s="78">
        <f>E97*E74</f>
        <v>7.0200000000000002E-3</v>
      </c>
      <c r="F98" s="94">
        <f>F97*E74</f>
        <v>7.93</v>
      </c>
      <c r="H98" s="5"/>
    </row>
    <row r="99" spans="2:8" ht="15" customHeight="1">
      <c r="B99" s="102" t="s">
        <v>88</v>
      </c>
      <c r="C99" s="290" t="s">
        <v>197</v>
      </c>
      <c r="D99" s="292"/>
      <c r="E99" s="78">
        <v>8.0000000000000002E-3</v>
      </c>
      <c r="F99" s="38">
        <f t="shared" ref="F99" si="6">E99*$F$37</f>
        <v>9.0500000000000007</v>
      </c>
      <c r="H99" s="5"/>
    </row>
    <row r="100" spans="2:8" ht="15" customHeight="1">
      <c r="B100" s="293" t="s">
        <v>57</v>
      </c>
      <c r="C100" s="294"/>
      <c r="D100" s="295"/>
      <c r="E100" s="79">
        <f>SUM(E94:E99)</f>
        <v>7.0959999999999995E-2</v>
      </c>
      <c r="F100" s="69">
        <f>SUM(F94:F99)</f>
        <v>80.25</v>
      </c>
      <c r="H100" s="5"/>
    </row>
    <row r="101" spans="2:8" ht="27" customHeight="1">
      <c r="B101" s="32" t="s">
        <v>145</v>
      </c>
      <c r="C101" s="322" t="s">
        <v>198</v>
      </c>
      <c r="D101" s="328"/>
      <c r="E101" s="328"/>
      <c r="F101" s="323"/>
      <c r="H101" s="5"/>
    </row>
    <row r="102" spans="2:8" ht="24.75" customHeight="1">
      <c r="B102" s="32" t="s">
        <v>148</v>
      </c>
      <c r="C102" s="322" t="s">
        <v>199</v>
      </c>
      <c r="D102" s="328"/>
      <c r="E102" s="328"/>
      <c r="F102" s="323"/>
      <c r="H102" s="5"/>
    </row>
    <row r="103" spans="2:8" ht="15" customHeight="1">
      <c r="H103" s="5"/>
    </row>
    <row r="104" spans="2:8" ht="15" customHeight="1">
      <c r="B104" s="293" t="s">
        <v>200</v>
      </c>
      <c r="C104" s="295"/>
      <c r="D104" s="293" t="s">
        <v>201</v>
      </c>
      <c r="E104" s="294"/>
      <c r="F104" s="295"/>
      <c r="H104" s="5"/>
    </row>
    <row r="105" spans="2:8" ht="15" customHeight="1">
      <c r="B105" s="101" t="s">
        <v>202</v>
      </c>
      <c r="C105" s="324" t="s">
        <v>203</v>
      </c>
      <c r="D105" s="325"/>
      <c r="E105" s="87" t="s">
        <v>166</v>
      </c>
      <c r="F105" s="68" t="s">
        <v>108</v>
      </c>
      <c r="H105" s="5"/>
    </row>
    <row r="106" spans="2:8" ht="15" customHeight="1">
      <c r="B106" s="34" t="s">
        <v>78</v>
      </c>
      <c r="C106" s="290" t="s">
        <v>204</v>
      </c>
      <c r="D106" s="292"/>
      <c r="E106" s="80">
        <v>0.11111</v>
      </c>
      <c r="F106" s="38">
        <f t="shared" ref="F106:F111" si="7">E106*$F$37</f>
        <v>125.65</v>
      </c>
      <c r="H106" s="5"/>
    </row>
    <row r="107" spans="2:8" ht="15" customHeight="1">
      <c r="B107" s="34" t="s">
        <v>83</v>
      </c>
      <c r="C107" s="326" t="s">
        <v>205</v>
      </c>
      <c r="D107" s="327"/>
      <c r="E107" s="80">
        <v>1.389E-2</v>
      </c>
      <c r="F107" s="38">
        <f t="shared" si="7"/>
        <v>15.71</v>
      </c>
      <c r="H107" s="5"/>
    </row>
    <row r="108" spans="2:8" ht="15" customHeight="1">
      <c r="B108" s="34" t="s">
        <v>86</v>
      </c>
      <c r="C108" s="290" t="s">
        <v>206</v>
      </c>
      <c r="D108" s="292"/>
      <c r="E108" s="80">
        <v>2.1000000000000001E-4</v>
      </c>
      <c r="F108" s="38">
        <f t="shared" si="7"/>
        <v>0.24</v>
      </c>
      <c r="H108" s="5"/>
    </row>
    <row r="109" spans="2:8" ht="15" customHeight="1">
      <c r="B109" s="34" t="s">
        <v>88</v>
      </c>
      <c r="C109" s="290" t="s">
        <v>207</v>
      </c>
      <c r="D109" s="292"/>
      <c r="E109" s="80">
        <v>2.7799999999999999E-3</v>
      </c>
      <c r="F109" s="38">
        <f t="shared" si="7"/>
        <v>3.14</v>
      </c>
      <c r="H109" s="5"/>
    </row>
    <row r="110" spans="2:8" ht="15" customHeight="1">
      <c r="B110" s="34" t="s">
        <v>113</v>
      </c>
      <c r="C110" s="290" t="s">
        <v>208</v>
      </c>
      <c r="D110" s="292"/>
      <c r="E110" s="80">
        <v>3.3300000000000001E-3</v>
      </c>
      <c r="F110" s="38">
        <f t="shared" si="7"/>
        <v>3.77</v>
      </c>
      <c r="H110" s="5"/>
    </row>
    <row r="111" spans="2:8" ht="15" customHeight="1">
      <c r="B111" s="102" t="s">
        <v>116</v>
      </c>
      <c r="C111" s="322" t="s">
        <v>126</v>
      </c>
      <c r="D111" s="323"/>
      <c r="E111" s="80">
        <v>0</v>
      </c>
      <c r="F111" s="38">
        <f t="shared" si="7"/>
        <v>0</v>
      </c>
      <c r="H111" s="5"/>
    </row>
    <row r="112" spans="2:8" ht="15" customHeight="1">
      <c r="B112" s="293" t="s">
        <v>183</v>
      </c>
      <c r="C112" s="294"/>
      <c r="D112" s="295"/>
      <c r="E112" s="79">
        <f>SUM(E106:E111)</f>
        <v>0.13131999999999999</v>
      </c>
      <c r="F112" s="73">
        <f>SUM(F106:F111)</f>
        <v>148.51</v>
      </c>
      <c r="H112" s="5"/>
    </row>
    <row r="113" spans="2:8" ht="15" customHeight="1">
      <c r="B113" s="102" t="s">
        <v>122</v>
      </c>
      <c r="C113" s="326" t="s">
        <v>209</v>
      </c>
      <c r="D113" s="327"/>
      <c r="E113" s="78">
        <f>E74*E112</f>
        <v>4.7410000000000001E-2</v>
      </c>
      <c r="F113" s="76">
        <f>E74*F112</f>
        <v>53.61</v>
      </c>
      <c r="H113" s="5"/>
    </row>
    <row r="114" spans="2:8" ht="15" customHeight="1">
      <c r="B114" s="293" t="s">
        <v>57</v>
      </c>
      <c r="C114" s="294"/>
      <c r="D114" s="295"/>
      <c r="E114" s="79">
        <f>SUM(E112:E113)</f>
        <v>0.17873</v>
      </c>
      <c r="F114" s="69">
        <f>SUM(F112:F113)</f>
        <v>202.12</v>
      </c>
      <c r="H114" s="5"/>
    </row>
    <row r="115" spans="2:8" ht="15" customHeight="1">
      <c r="H115" s="5"/>
    </row>
    <row r="116" spans="2:8" ht="15" customHeight="1">
      <c r="B116" s="293" t="s">
        <v>210</v>
      </c>
      <c r="C116" s="295"/>
      <c r="D116" s="293" t="s">
        <v>211</v>
      </c>
      <c r="E116" s="294"/>
      <c r="F116" s="295"/>
      <c r="H116" s="5"/>
    </row>
    <row r="117" spans="2:8" ht="15" customHeight="1">
      <c r="B117" s="101">
        <v>4</v>
      </c>
      <c r="C117" s="324" t="s">
        <v>212</v>
      </c>
      <c r="D117" s="325"/>
      <c r="E117" s="87" t="s">
        <v>166</v>
      </c>
      <c r="F117" s="68" t="s">
        <v>108</v>
      </c>
      <c r="H117" s="5"/>
    </row>
    <row r="118" spans="2:8" ht="15" customHeight="1">
      <c r="B118" s="34" t="s">
        <v>165</v>
      </c>
      <c r="C118" s="290" t="str">
        <f>D64</f>
        <v>Encargos Previdenciários e FGTS</v>
      </c>
      <c r="D118" s="292"/>
      <c r="E118" s="90">
        <f>E74</f>
        <v>0.36099999999999999</v>
      </c>
      <c r="F118" s="38">
        <f>F74</f>
        <v>408.24</v>
      </c>
      <c r="H118" s="5"/>
    </row>
    <row r="119" spans="2:8" ht="15" customHeight="1">
      <c r="B119" s="34" t="s">
        <v>179</v>
      </c>
      <c r="C119" s="326" t="str">
        <f>D78</f>
        <v>13° Salário e Adicional de Férias</v>
      </c>
      <c r="D119" s="327"/>
      <c r="E119" s="90">
        <f>E84</f>
        <v>0.15121999999999999</v>
      </c>
      <c r="F119" s="38">
        <f>F84</f>
        <v>171</v>
      </c>
      <c r="H119" s="5"/>
    </row>
    <row r="120" spans="2:8" ht="15" customHeight="1">
      <c r="B120" s="34" t="s">
        <v>187</v>
      </c>
      <c r="C120" s="290" t="str">
        <f>D86</f>
        <v>Afastamento Maternidade</v>
      </c>
      <c r="D120" s="292"/>
      <c r="E120" s="90">
        <f>E90</f>
        <v>3.9100000000000003E-3</v>
      </c>
      <c r="F120" s="38">
        <f>F90</f>
        <v>4.42</v>
      </c>
      <c r="H120" s="5"/>
    </row>
    <row r="121" spans="2:8" ht="15" customHeight="1">
      <c r="B121" s="34" t="s">
        <v>191</v>
      </c>
      <c r="C121" s="290" t="str">
        <f>D92</f>
        <v>Provisão para Rescisão</v>
      </c>
      <c r="D121" s="292"/>
      <c r="E121" s="90">
        <f>E100</f>
        <v>7.0959999999999995E-2</v>
      </c>
      <c r="F121" s="38">
        <f>F100</f>
        <v>80.25</v>
      </c>
      <c r="H121" s="5"/>
    </row>
    <row r="122" spans="2:8" ht="15" customHeight="1">
      <c r="B122" s="34" t="s">
        <v>202</v>
      </c>
      <c r="C122" s="290" t="str">
        <f>D104</f>
        <v>Custo de Reposição do Profissional Ausente</v>
      </c>
      <c r="D122" s="292"/>
      <c r="E122" s="90">
        <f>E114</f>
        <v>0.17873</v>
      </c>
      <c r="F122" s="38">
        <f>F114</f>
        <v>202.12</v>
      </c>
      <c r="H122" s="5"/>
    </row>
    <row r="123" spans="2:8" ht="15" customHeight="1">
      <c r="B123" s="102" t="s">
        <v>213</v>
      </c>
      <c r="C123" s="322" t="s">
        <v>126</v>
      </c>
      <c r="D123" s="323"/>
      <c r="E123" s="90">
        <v>0</v>
      </c>
      <c r="F123" s="38">
        <v>0</v>
      </c>
      <c r="H123" s="5"/>
    </row>
    <row r="124" spans="2:8" ht="15" customHeight="1">
      <c r="B124" s="293" t="s">
        <v>57</v>
      </c>
      <c r="C124" s="294"/>
      <c r="D124" s="295"/>
      <c r="E124" s="89">
        <f>SUM(E118:E123)</f>
        <v>0.76581999999999995</v>
      </c>
      <c r="F124" s="69">
        <f>SUM(F118:F123)</f>
        <v>866.03</v>
      </c>
      <c r="H124" s="5"/>
    </row>
    <row r="125" spans="2:8" ht="15" customHeight="1">
      <c r="H125" s="5"/>
    </row>
    <row r="126" spans="2:8" ht="15" customHeight="1">
      <c r="B126" s="293" t="s">
        <v>214</v>
      </c>
      <c r="C126" s="295"/>
      <c r="D126" s="293" t="s">
        <v>215</v>
      </c>
      <c r="E126" s="294"/>
      <c r="F126" s="295"/>
      <c r="H126" s="5"/>
    </row>
    <row r="127" spans="2:8" ht="15" customHeight="1">
      <c r="B127" s="101">
        <v>5</v>
      </c>
      <c r="C127" s="293" t="s">
        <v>216</v>
      </c>
      <c r="D127" s="295"/>
      <c r="E127" s="87" t="s">
        <v>166</v>
      </c>
      <c r="F127" s="68" t="s">
        <v>108</v>
      </c>
      <c r="H127" s="5"/>
    </row>
    <row r="128" spans="2:8" ht="15" customHeight="1">
      <c r="B128" s="34" t="s">
        <v>78</v>
      </c>
      <c r="C128" s="315" t="s">
        <v>217</v>
      </c>
      <c r="D128" s="316"/>
      <c r="E128" s="84">
        <v>5.0000000000000001E-3</v>
      </c>
      <c r="F128" s="40">
        <f>E128*F148</f>
        <v>10.5</v>
      </c>
      <c r="H128" s="5"/>
    </row>
    <row r="129" spans="2:8" ht="15" customHeight="1">
      <c r="B129" s="34" t="s">
        <v>83</v>
      </c>
      <c r="C129" s="104" t="s">
        <v>218</v>
      </c>
      <c r="D129" s="104"/>
      <c r="E129" s="84">
        <v>5.0000000000000001E-3</v>
      </c>
      <c r="F129" s="40">
        <f>E129*(F148+F128)</f>
        <v>10.55</v>
      </c>
      <c r="H129" s="5"/>
    </row>
    <row r="130" spans="2:8" ht="15" customHeight="1">
      <c r="B130" s="303" t="s">
        <v>219</v>
      </c>
      <c r="C130" s="304"/>
      <c r="D130" s="305"/>
      <c r="E130" s="79">
        <f>SUM(E128:E129)</f>
        <v>0.01</v>
      </c>
      <c r="F130" s="69">
        <f>SUM(F128:F129)</f>
        <v>21.05</v>
      </c>
      <c r="H130" s="5"/>
    </row>
    <row r="131" spans="2:8" ht="15" customHeight="1">
      <c r="B131" s="317" t="s">
        <v>86</v>
      </c>
      <c r="C131" s="290" t="s">
        <v>220</v>
      </c>
      <c r="D131" s="291"/>
      <c r="E131" s="291"/>
      <c r="F131" s="292"/>
      <c r="H131" s="5"/>
    </row>
    <row r="132" spans="2:8" ht="15" customHeight="1">
      <c r="B132" s="318"/>
      <c r="C132" s="320" t="s">
        <v>221</v>
      </c>
      <c r="D132" s="42" t="s">
        <v>222</v>
      </c>
      <c r="E132" s="80">
        <v>7.5999999999999998E-2</v>
      </c>
      <c r="F132" s="41">
        <f>(($F$148+$F$128+$F$129)/(1-$E$136))*E132</f>
        <v>188</v>
      </c>
      <c r="H132" s="5"/>
    </row>
    <row r="133" spans="2:8" ht="15" customHeight="1">
      <c r="B133" s="318"/>
      <c r="C133" s="321"/>
      <c r="D133" s="42" t="s">
        <v>223</v>
      </c>
      <c r="E133" s="80">
        <v>1.6500000000000001E-2</v>
      </c>
      <c r="F133" s="41">
        <f t="shared" ref="F133:F135" si="8">(($F$148+$F$128+$F$129)/(1-$E$136))*E133</f>
        <v>40.82</v>
      </c>
      <c r="H133" s="5"/>
    </row>
    <row r="134" spans="2:8" ht="15" customHeight="1">
      <c r="B134" s="318"/>
      <c r="C134" s="43" t="s">
        <v>224</v>
      </c>
      <c r="D134" s="42" t="s">
        <v>225</v>
      </c>
      <c r="E134" s="80">
        <v>0.05</v>
      </c>
      <c r="F134" s="41">
        <f t="shared" si="8"/>
        <v>123.68</v>
      </c>
      <c r="H134" s="5"/>
    </row>
    <row r="135" spans="2:8" ht="15" customHeight="1">
      <c r="B135" s="319"/>
      <c r="C135" s="43" t="s">
        <v>226</v>
      </c>
      <c r="D135" s="72"/>
      <c r="E135" s="80">
        <v>0</v>
      </c>
      <c r="F135" s="41">
        <f t="shared" si="8"/>
        <v>0</v>
      </c>
      <c r="H135" s="5"/>
    </row>
    <row r="136" spans="2:8" ht="15" customHeight="1">
      <c r="B136" s="303" t="s">
        <v>227</v>
      </c>
      <c r="C136" s="304"/>
      <c r="D136" s="305"/>
      <c r="E136" s="79">
        <f>SUM(E132:E135)</f>
        <v>0.14249999999999999</v>
      </c>
      <c r="F136" s="69">
        <f>SUM(F132:F135)</f>
        <v>352.5</v>
      </c>
      <c r="H136" s="5"/>
    </row>
    <row r="137" spans="2:8" ht="15" customHeight="1">
      <c r="B137" s="293" t="s">
        <v>57</v>
      </c>
      <c r="C137" s="294"/>
      <c r="D137" s="295"/>
      <c r="E137" s="79">
        <f>E130+E136</f>
        <v>0.1525</v>
      </c>
      <c r="F137" s="71">
        <f>SUM(F136,F130)</f>
        <v>373.55</v>
      </c>
      <c r="H137" s="5"/>
    </row>
    <row r="138" spans="2:8" ht="15" customHeight="1">
      <c r="B138" s="39" t="s">
        <v>145</v>
      </c>
      <c r="C138" s="306" t="s">
        <v>228</v>
      </c>
      <c r="D138" s="307"/>
      <c r="E138" s="307"/>
      <c r="F138" s="308"/>
      <c r="H138" s="5"/>
    </row>
    <row r="139" spans="2:8" ht="15" customHeight="1">
      <c r="B139" s="39" t="s">
        <v>148</v>
      </c>
      <c r="C139" s="306" t="s">
        <v>229</v>
      </c>
      <c r="D139" s="307"/>
      <c r="E139" s="307"/>
      <c r="F139" s="308"/>
      <c r="H139" s="5"/>
    </row>
    <row r="140" spans="2:8" ht="25.5" customHeight="1">
      <c r="B140" s="39" t="s">
        <v>230</v>
      </c>
      <c r="C140" s="309" t="s">
        <v>231</v>
      </c>
      <c r="D140" s="310"/>
      <c r="E140" s="310"/>
      <c r="F140" s="311"/>
      <c r="H140" s="5"/>
    </row>
    <row r="141" spans="2:8" ht="15" customHeight="1">
      <c r="H141" s="5"/>
    </row>
    <row r="142" spans="2:8" ht="15" customHeight="1">
      <c r="B142" s="293" t="s">
        <v>232</v>
      </c>
      <c r="C142" s="294"/>
      <c r="D142" s="294"/>
      <c r="E142" s="294"/>
      <c r="F142" s="295"/>
      <c r="H142" s="5"/>
    </row>
    <row r="143" spans="2:8" ht="15" customHeight="1">
      <c r="B143" s="300" t="s">
        <v>233</v>
      </c>
      <c r="C143" s="301"/>
      <c r="D143" s="301"/>
      <c r="E143" s="302"/>
      <c r="F143" s="65" t="s">
        <v>234</v>
      </c>
      <c r="H143" s="5"/>
    </row>
    <row r="144" spans="2:8" ht="15" customHeight="1">
      <c r="B144" s="34" t="s">
        <v>78</v>
      </c>
      <c r="C144" s="290" t="s">
        <v>235</v>
      </c>
      <c r="D144" s="291"/>
      <c r="E144" s="292"/>
      <c r="F144" s="38">
        <f>F37</f>
        <v>1130.8399999999999</v>
      </c>
      <c r="H144" s="5"/>
    </row>
    <row r="145" spans="2:8" ht="15" customHeight="1">
      <c r="B145" s="34" t="s">
        <v>83</v>
      </c>
      <c r="C145" s="290" t="s">
        <v>236</v>
      </c>
      <c r="D145" s="291"/>
      <c r="E145" s="292"/>
      <c r="F145" s="38">
        <f>F47</f>
        <v>31.46</v>
      </c>
      <c r="H145" s="5"/>
    </row>
    <row r="146" spans="2:8" ht="15" customHeight="1">
      <c r="B146" s="34" t="s">
        <v>86</v>
      </c>
      <c r="C146" s="290" t="s">
        <v>237</v>
      </c>
      <c r="D146" s="291"/>
      <c r="E146" s="292"/>
      <c r="F146" s="38">
        <f>F60</f>
        <v>71.790000000000006</v>
      </c>
      <c r="H146" s="5"/>
    </row>
    <row r="147" spans="2:8" ht="15" customHeight="1">
      <c r="B147" s="34" t="s">
        <v>88</v>
      </c>
      <c r="C147" s="290" t="s">
        <v>212</v>
      </c>
      <c r="D147" s="291"/>
      <c r="E147" s="292"/>
      <c r="F147" s="38">
        <f>F124</f>
        <v>866.03</v>
      </c>
      <c r="H147" s="5"/>
    </row>
    <row r="148" spans="2:8" ht="15" customHeight="1">
      <c r="B148" s="293" t="s">
        <v>238</v>
      </c>
      <c r="C148" s="294"/>
      <c r="D148" s="294"/>
      <c r="E148" s="295"/>
      <c r="F148" s="73">
        <f>SUM(F144:F147)</f>
        <v>2100.12</v>
      </c>
      <c r="H148" s="5"/>
    </row>
    <row r="149" spans="2:8" ht="15" customHeight="1">
      <c r="B149" s="34" t="s">
        <v>113</v>
      </c>
      <c r="C149" s="290" t="s">
        <v>239</v>
      </c>
      <c r="D149" s="291"/>
      <c r="E149" s="292"/>
      <c r="F149" s="38">
        <f>F137</f>
        <v>373.55</v>
      </c>
      <c r="H149" s="5"/>
    </row>
    <row r="150" spans="2:8" ht="15" customHeight="1">
      <c r="B150" s="293" t="s">
        <v>240</v>
      </c>
      <c r="C150" s="294"/>
      <c r="D150" s="294"/>
      <c r="E150" s="295"/>
      <c r="F150" s="73">
        <f>SUM(F148:F149)</f>
        <v>2473.67</v>
      </c>
      <c r="H150" s="5"/>
    </row>
    <row r="151" spans="2:8" ht="15" customHeight="1">
      <c r="B151" s="109"/>
      <c r="C151" s="109"/>
      <c r="D151" s="109"/>
      <c r="E151" s="109"/>
      <c r="F151" s="110"/>
      <c r="H151" s="5"/>
    </row>
    <row r="152" spans="2:8" ht="15" customHeight="1">
      <c r="H152" s="5"/>
    </row>
    <row r="153" spans="2:8" ht="26.25" customHeight="1">
      <c r="B153" s="470" t="s">
        <v>151</v>
      </c>
      <c r="C153" s="470"/>
      <c r="D153" s="111" t="s">
        <v>152</v>
      </c>
      <c r="E153" s="470" t="s">
        <v>251</v>
      </c>
      <c r="F153" s="470"/>
      <c r="G153" s="112"/>
      <c r="H153" s="5"/>
    </row>
    <row r="154" spans="2:8" ht="31.5" customHeight="1">
      <c r="B154" s="470" t="s">
        <v>253</v>
      </c>
      <c r="C154" s="470"/>
      <c r="D154" s="113">
        <v>60</v>
      </c>
      <c r="E154" s="471">
        <f>D154*F150*E16</f>
        <v>148420.20000000001</v>
      </c>
      <c r="F154" s="471"/>
      <c r="H154" s="5"/>
    </row>
    <row r="155" spans="2:8" ht="35.25" customHeight="1">
      <c r="B155" s="470" t="s">
        <v>263</v>
      </c>
      <c r="C155" s="470"/>
      <c r="D155" s="113">
        <v>12</v>
      </c>
      <c r="E155" s="471">
        <f>D155*F150*E16</f>
        <v>29684.04</v>
      </c>
      <c r="F155" s="471"/>
      <c r="H155" s="5"/>
    </row>
  </sheetData>
  <mergeCells count="148">
    <mergeCell ref="B155:C155"/>
    <mergeCell ref="E155:F155"/>
    <mergeCell ref="C149:E149"/>
    <mergeCell ref="B150:E150"/>
    <mergeCell ref="B153:C153"/>
    <mergeCell ref="E153:F153"/>
    <mergeCell ref="B154:C154"/>
    <mergeCell ref="E154:F154"/>
    <mergeCell ref="B143:E143"/>
    <mergeCell ref="C144:E144"/>
    <mergeCell ref="C145:E145"/>
    <mergeCell ref="C146:E146"/>
    <mergeCell ref="C147:E147"/>
    <mergeCell ref="B148:E148"/>
    <mergeCell ref="B136:D136"/>
    <mergeCell ref="B137:D137"/>
    <mergeCell ref="C138:F138"/>
    <mergeCell ref="C139:F139"/>
    <mergeCell ref="C140:F140"/>
    <mergeCell ref="B142:F142"/>
    <mergeCell ref="C127:D127"/>
    <mergeCell ref="C128:D128"/>
    <mergeCell ref="B130:D130"/>
    <mergeCell ref="B131:B135"/>
    <mergeCell ref="C131:F131"/>
    <mergeCell ref="C132:C133"/>
    <mergeCell ref="C121:D121"/>
    <mergeCell ref="C122:D122"/>
    <mergeCell ref="C123:D123"/>
    <mergeCell ref="B124:D124"/>
    <mergeCell ref="B126:C126"/>
    <mergeCell ref="D126:F126"/>
    <mergeCell ref="B116:C116"/>
    <mergeCell ref="D116:F116"/>
    <mergeCell ref="C117:D117"/>
    <mergeCell ref="C118:D118"/>
    <mergeCell ref="C119:D119"/>
    <mergeCell ref="C120:D120"/>
    <mergeCell ref="C109:D109"/>
    <mergeCell ref="C110:D110"/>
    <mergeCell ref="C111:D111"/>
    <mergeCell ref="B112:D112"/>
    <mergeCell ref="C113:D113"/>
    <mergeCell ref="B114:D114"/>
    <mergeCell ref="B104:C104"/>
    <mergeCell ref="D104:F104"/>
    <mergeCell ref="C105:D105"/>
    <mergeCell ref="C106:D106"/>
    <mergeCell ref="C107:D107"/>
    <mergeCell ref="C108:D108"/>
    <mergeCell ref="C97:D97"/>
    <mergeCell ref="C98:D98"/>
    <mergeCell ref="C99:D99"/>
    <mergeCell ref="B100:D100"/>
    <mergeCell ref="C101:F101"/>
    <mergeCell ref="C102:F102"/>
    <mergeCell ref="B92:C92"/>
    <mergeCell ref="D92:F92"/>
    <mergeCell ref="C93:D93"/>
    <mergeCell ref="C94:D94"/>
    <mergeCell ref="C95:D95"/>
    <mergeCell ref="C96:D96"/>
    <mergeCell ref="B86:C86"/>
    <mergeCell ref="D86:F86"/>
    <mergeCell ref="C87:D87"/>
    <mergeCell ref="C88:D88"/>
    <mergeCell ref="C89:D89"/>
    <mergeCell ref="B90:D90"/>
    <mergeCell ref="C79:D79"/>
    <mergeCell ref="C80:D80"/>
    <mergeCell ref="C81:D81"/>
    <mergeCell ref="B82:D82"/>
    <mergeCell ref="C83:D83"/>
    <mergeCell ref="B84:D84"/>
    <mergeCell ref="C72:D72"/>
    <mergeCell ref="C73:D73"/>
    <mergeCell ref="B74:D74"/>
    <mergeCell ref="C75:F75"/>
    <mergeCell ref="C76:F76"/>
    <mergeCell ref="B78:C78"/>
    <mergeCell ref="D78:F78"/>
    <mergeCell ref="C66:D66"/>
    <mergeCell ref="C67:D67"/>
    <mergeCell ref="C68:D68"/>
    <mergeCell ref="C69:D69"/>
    <mergeCell ref="C70:D70"/>
    <mergeCell ref="C71:D71"/>
    <mergeCell ref="C61:F61"/>
    <mergeCell ref="B63:C63"/>
    <mergeCell ref="D63:F63"/>
    <mergeCell ref="B64:C64"/>
    <mergeCell ref="D64:F64"/>
    <mergeCell ref="C65:D65"/>
    <mergeCell ref="C55:E55"/>
    <mergeCell ref="C56:E56"/>
    <mergeCell ref="C57:E57"/>
    <mergeCell ref="C58:E58"/>
    <mergeCell ref="C59:E59"/>
    <mergeCell ref="B60:E60"/>
    <mergeCell ref="B47:E47"/>
    <mergeCell ref="C48:F48"/>
    <mergeCell ref="B49:B52"/>
    <mergeCell ref="C49:F52"/>
    <mergeCell ref="B54:C54"/>
    <mergeCell ref="D54:F54"/>
    <mergeCell ref="C41:E41"/>
    <mergeCell ref="C42:E42"/>
    <mergeCell ref="C43:E43"/>
    <mergeCell ref="C44:E44"/>
    <mergeCell ref="C45:E45"/>
    <mergeCell ref="C46:E46"/>
    <mergeCell ref="C28:E28"/>
    <mergeCell ref="C36:D36"/>
    <mergeCell ref="B37:D37"/>
    <mergeCell ref="B39:C39"/>
    <mergeCell ref="D39:F39"/>
    <mergeCell ref="C40:E40"/>
    <mergeCell ref="C22:E22"/>
    <mergeCell ref="C23:E23"/>
    <mergeCell ref="C24:E24"/>
    <mergeCell ref="C25:E25"/>
    <mergeCell ref="C26:F26"/>
    <mergeCell ref="B27:C27"/>
    <mergeCell ref="D27:F27"/>
    <mergeCell ref="B16:C16"/>
    <mergeCell ref="E16:F16"/>
    <mergeCell ref="B19:F19"/>
    <mergeCell ref="B20:F20"/>
    <mergeCell ref="B21:F21"/>
    <mergeCell ref="E12:F12"/>
    <mergeCell ref="C13:D13"/>
    <mergeCell ref="E13:F13"/>
    <mergeCell ref="B14:F14"/>
    <mergeCell ref="B15:C15"/>
    <mergeCell ref="E15:F15"/>
    <mergeCell ref="B8:C8"/>
    <mergeCell ref="E8:F8"/>
    <mergeCell ref="B9:F9"/>
    <mergeCell ref="C10:D10"/>
    <mergeCell ref="E10:F10"/>
    <mergeCell ref="C11:D11"/>
    <mergeCell ref="E11:F11"/>
    <mergeCell ref="E2:F2"/>
    <mergeCell ref="B3:F3"/>
    <mergeCell ref="B4:F4"/>
    <mergeCell ref="E5:F5"/>
    <mergeCell ref="E6:F6"/>
    <mergeCell ref="B7:F7"/>
  </mergeCells>
  <pageMargins left="0.511811024" right="0.511811024" top="0.78740157499999996" bottom="0.78740157499999996" header="0.31496062000000002" footer="0.31496062000000002"/>
  <pageSetup paperSize="9" scale="52" orientation="portrait" r:id="rId1"/>
  <rowBreaks count="1" manualBreakCount="1">
    <brk id="90" max="16383" man="1"/>
  </rowBreaks>
  <colBreaks count="1" manualBreakCount="1">
    <brk id="7" max="1048575" man="1"/>
  </colBreaks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0000000}">
          <x14:formula1>
            <xm:f>'#listas#'!$E$1:$E$22</xm:f>
          </x14:formula1>
          <xm:sqref>C2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dimension ref="B1:H156"/>
  <sheetViews>
    <sheetView showGridLines="0" view="pageBreakPreview" topLeftCell="A49" zoomScale="115" zoomScaleNormal="115" zoomScaleSheetLayoutView="115" workbookViewId="0">
      <selection activeCell="C49" sqref="C49:F52"/>
    </sheetView>
  </sheetViews>
  <sheetFormatPr defaultColWidth="9.140625" defaultRowHeight="15" customHeight="1"/>
  <cols>
    <col min="1" max="1" width="4.42578125" style="5" customWidth="1"/>
    <col min="2" max="2" width="12.85546875" style="44" customWidth="1"/>
    <col min="3" max="3" width="43.42578125" style="44" customWidth="1"/>
    <col min="4" max="4" width="18.85546875" style="44" bestFit="1" customWidth="1"/>
    <col min="5" max="5" width="10.140625" style="85" bestFit="1" customWidth="1"/>
    <col min="6" max="6" width="11.7109375" style="45" customWidth="1"/>
    <col min="7" max="7" width="3.28515625" style="5" customWidth="1"/>
    <col min="8" max="8" width="12.140625" style="52" customWidth="1"/>
    <col min="9" max="16384" width="9.140625" style="5"/>
  </cols>
  <sheetData>
    <row r="1" spans="2:8" ht="15" customHeight="1">
      <c r="H1" s="47"/>
    </row>
    <row r="2" spans="2:8" s="49" customFormat="1" ht="15" customHeight="1">
      <c r="B2" s="8" t="s">
        <v>55</v>
      </c>
      <c r="C2" s="50" t="s">
        <v>21</v>
      </c>
      <c r="D2" s="8" t="s">
        <v>59</v>
      </c>
      <c r="E2" s="462"/>
      <c r="F2" s="462"/>
      <c r="H2" s="51"/>
    </row>
    <row r="3" spans="2:8" ht="21">
      <c r="B3" s="466"/>
      <c r="C3" s="466"/>
      <c r="D3" s="466"/>
      <c r="E3" s="466"/>
      <c r="F3" s="466"/>
    </row>
    <row r="4" spans="2:8" ht="15" customHeight="1">
      <c r="B4" s="362" t="s">
        <v>60</v>
      </c>
      <c r="C4" s="362"/>
      <c r="D4" s="362"/>
      <c r="E4" s="362"/>
      <c r="F4" s="362"/>
    </row>
    <row r="5" spans="2:8" ht="15" customHeight="1">
      <c r="B5" s="34" t="s">
        <v>62</v>
      </c>
      <c r="C5" s="30"/>
      <c r="D5" s="103" t="s">
        <v>63</v>
      </c>
      <c r="E5" s="468"/>
      <c r="F5" s="468"/>
    </row>
    <row r="6" spans="2:8" ht="15" customHeight="1">
      <c r="B6" s="34" t="s">
        <v>65</v>
      </c>
      <c r="C6" s="31"/>
      <c r="D6" s="34" t="s">
        <v>66</v>
      </c>
      <c r="E6" s="468"/>
      <c r="F6" s="468"/>
    </row>
    <row r="7" spans="2:8" ht="15" customHeight="1">
      <c r="B7" s="362" t="s">
        <v>67</v>
      </c>
      <c r="C7" s="362"/>
      <c r="D7" s="362"/>
      <c r="E7" s="362"/>
      <c r="F7" s="362"/>
    </row>
    <row r="8" spans="2:8" ht="15" customHeight="1">
      <c r="B8" s="459" t="s">
        <v>69</v>
      </c>
      <c r="C8" s="460"/>
      <c r="D8" s="34" t="s">
        <v>70</v>
      </c>
      <c r="E8" s="354"/>
      <c r="F8" s="355"/>
    </row>
    <row r="9" spans="2:8" ht="15" customHeight="1">
      <c r="B9" s="362" t="s">
        <v>75</v>
      </c>
      <c r="C9" s="362"/>
      <c r="D9" s="362"/>
      <c r="E9" s="362"/>
      <c r="F9" s="362"/>
    </row>
    <row r="10" spans="2:8" ht="15" customHeight="1">
      <c r="B10" s="34" t="s">
        <v>78</v>
      </c>
      <c r="C10" s="290" t="s">
        <v>79</v>
      </c>
      <c r="D10" s="291"/>
      <c r="E10" s="461"/>
      <c r="F10" s="461"/>
    </row>
    <row r="11" spans="2:8" ht="15" customHeight="1">
      <c r="B11" s="34" t="s">
        <v>83</v>
      </c>
      <c r="C11" s="290" t="s">
        <v>84</v>
      </c>
      <c r="D11" s="291"/>
      <c r="E11" s="300" t="s">
        <v>85</v>
      </c>
      <c r="F11" s="302"/>
    </row>
    <row r="12" spans="2:8" ht="15" customHeight="1">
      <c r="B12" s="34" t="s">
        <v>86</v>
      </c>
      <c r="C12" s="53" t="s">
        <v>87</v>
      </c>
      <c r="D12" s="54"/>
      <c r="E12" s="300" t="s">
        <v>279</v>
      </c>
      <c r="F12" s="302"/>
    </row>
    <row r="13" spans="2:8" ht="15" customHeight="1">
      <c r="B13" s="34" t="s">
        <v>88</v>
      </c>
      <c r="C13" s="322" t="s">
        <v>89</v>
      </c>
      <c r="D13" s="328"/>
      <c r="E13" s="300">
        <v>12</v>
      </c>
      <c r="F13" s="302"/>
    </row>
    <row r="14" spans="2:8" ht="15" customHeight="1">
      <c r="B14" s="362" t="s">
        <v>90</v>
      </c>
      <c r="C14" s="362"/>
      <c r="D14" s="362"/>
      <c r="E14" s="362"/>
      <c r="F14" s="362"/>
    </row>
    <row r="15" spans="2:8" ht="15" customHeight="1">
      <c r="B15" s="451" t="s">
        <v>91</v>
      </c>
      <c r="C15" s="451"/>
      <c r="D15" s="32" t="s">
        <v>92</v>
      </c>
      <c r="E15" s="452" t="s">
        <v>243</v>
      </c>
      <c r="F15" s="453"/>
    </row>
    <row r="16" spans="2:8" ht="15" customHeight="1">
      <c r="B16" s="455" t="s">
        <v>289</v>
      </c>
      <c r="C16" s="455"/>
      <c r="D16" s="9" t="s">
        <v>95</v>
      </c>
      <c r="E16" s="456">
        <v>2</v>
      </c>
      <c r="F16" s="456"/>
      <c r="H16" s="5"/>
    </row>
    <row r="17" spans="2:8" ht="15" customHeight="1">
      <c r="H17" s="5"/>
    </row>
    <row r="18" spans="2:8" ht="12.75" customHeight="1">
      <c r="B18" s="450"/>
      <c r="C18" s="450"/>
      <c r="D18" s="450"/>
      <c r="E18" s="450"/>
      <c r="F18" s="450"/>
      <c r="H18" s="5"/>
    </row>
    <row r="19" spans="2:8" ht="15" customHeight="1">
      <c r="B19" s="362" t="s">
        <v>71</v>
      </c>
      <c r="C19" s="362"/>
      <c r="D19" s="362"/>
      <c r="E19" s="362"/>
      <c r="F19" s="362"/>
      <c r="H19" s="5"/>
    </row>
    <row r="20" spans="2:8" ht="15" customHeight="1">
      <c r="B20" s="362" t="s">
        <v>96</v>
      </c>
      <c r="C20" s="362"/>
      <c r="D20" s="362"/>
      <c r="E20" s="362"/>
      <c r="F20" s="362"/>
      <c r="H20" s="5"/>
    </row>
    <row r="21" spans="2:8" ht="15" customHeight="1">
      <c r="B21" s="437" t="s">
        <v>98</v>
      </c>
      <c r="C21" s="437"/>
      <c r="D21" s="437"/>
      <c r="E21" s="437"/>
      <c r="F21" s="437"/>
      <c r="H21" s="5"/>
    </row>
    <row r="22" spans="2:8" ht="15" customHeight="1">
      <c r="B22" s="34">
        <v>1</v>
      </c>
      <c r="C22" s="449" t="s">
        <v>99</v>
      </c>
      <c r="D22" s="449"/>
      <c r="E22" s="449"/>
      <c r="F22" s="56"/>
      <c r="H22" s="5"/>
    </row>
    <row r="23" spans="2:8" ht="15" customHeight="1">
      <c r="B23" s="34">
        <v>2</v>
      </c>
      <c r="C23" s="437" t="s">
        <v>100</v>
      </c>
      <c r="D23" s="437"/>
      <c r="E23" s="437"/>
      <c r="F23" s="57">
        <v>955.2</v>
      </c>
      <c r="H23" s="5"/>
    </row>
    <row r="24" spans="2:8" ht="15" customHeight="1">
      <c r="B24" s="34">
        <v>3</v>
      </c>
      <c r="C24" s="437" t="s">
        <v>101</v>
      </c>
      <c r="D24" s="437"/>
      <c r="E24" s="437"/>
      <c r="F24" s="56"/>
      <c r="H24" s="5"/>
    </row>
    <row r="25" spans="2:8" ht="15" customHeight="1">
      <c r="B25" s="34">
        <v>4</v>
      </c>
      <c r="C25" s="437" t="s">
        <v>102</v>
      </c>
      <c r="D25" s="437"/>
      <c r="E25" s="437"/>
      <c r="F25" s="58">
        <v>42736</v>
      </c>
      <c r="H25" s="5"/>
    </row>
    <row r="26" spans="2:8" ht="15" customHeight="1">
      <c r="B26" s="37" t="s">
        <v>103</v>
      </c>
      <c r="C26" s="438" t="s">
        <v>104</v>
      </c>
      <c r="D26" s="438"/>
      <c r="E26" s="438"/>
      <c r="F26" s="438"/>
      <c r="H26" s="5"/>
    </row>
    <row r="27" spans="2:8" ht="15" customHeight="1">
      <c r="B27" s="362" t="s">
        <v>105</v>
      </c>
      <c r="C27" s="362"/>
      <c r="D27" s="362" t="s">
        <v>106</v>
      </c>
      <c r="E27" s="362"/>
      <c r="F27" s="362"/>
      <c r="H27" s="5"/>
    </row>
    <row r="28" spans="2:8" ht="15" customHeight="1">
      <c r="B28" s="101">
        <v>1</v>
      </c>
      <c r="C28" s="362" t="s">
        <v>107</v>
      </c>
      <c r="D28" s="362"/>
      <c r="E28" s="362"/>
      <c r="F28" s="68" t="s">
        <v>108</v>
      </c>
      <c r="H28" s="5"/>
    </row>
    <row r="29" spans="2:8" ht="15" customHeight="1">
      <c r="B29" s="34" t="s">
        <v>78</v>
      </c>
      <c r="C29" s="59" t="s">
        <v>109</v>
      </c>
      <c r="D29" s="60"/>
      <c r="E29" s="80"/>
      <c r="F29" s="61">
        <f>F23</f>
        <v>955.2</v>
      </c>
      <c r="H29" s="5"/>
    </row>
    <row r="30" spans="2:8" ht="15" customHeight="1">
      <c r="B30" s="34" t="s">
        <v>83</v>
      </c>
      <c r="C30" s="59" t="s">
        <v>110</v>
      </c>
      <c r="D30" s="60"/>
      <c r="E30" s="80"/>
      <c r="F30" s="61">
        <f>$F$29*E30</f>
        <v>0</v>
      </c>
      <c r="H30" s="5"/>
    </row>
    <row r="31" spans="2:8" ht="15" customHeight="1">
      <c r="B31" s="34" t="s">
        <v>86</v>
      </c>
      <c r="C31" s="59" t="s">
        <v>111</v>
      </c>
      <c r="D31" s="60"/>
      <c r="E31" s="81"/>
      <c r="F31" s="61">
        <f t="shared" ref="F31:F36" si="0">$F$29*E31</f>
        <v>0</v>
      </c>
      <c r="H31" s="5"/>
    </row>
    <row r="32" spans="2:8" ht="15" customHeight="1">
      <c r="B32" s="34" t="s">
        <v>88</v>
      </c>
      <c r="C32" s="59" t="s">
        <v>112</v>
      </c>
      <c r="D32" s="60"/>
      <c r="E32" s="80"/>
      <c r="F32" s="61">
        <f t="shared" si="0"/>
        <v>0</v>
      </c>
      <c r="H32" s="5"/>
    </row>
    <row r="33" spans="2:8" ht="15" customHeight="1">
      <c r="B33" s="34" t="s">
        <v>113</v>
      </c>
      <c r="C33" s="59" t="s">
        <v>114</v>
      </c>
      <c r="D33" s="60"/>
      <c r="E33" s="80"/>
      <c r="F33" s="61">
        <f t="shared" si="0"/>
        <v>0</v>
      </c>
      <c r="H33" s="5"/>
    </row>
    <row r="34" spans="2:8" ht="15" customHeight="1">
      <c r="B34" s="34" t="s">
        <v>116</v>
      </c>
      <c r="C34" s="59" t="s">
        <v>117</v>
      </c>
      <c r="D34" s="60"/>
      <c r="E34" s="80"/>
      <c r="F34" s="61">
        <f t="shared" si="0"/>
        <v>0</v>
      </c>
      <c r="H34" s="5"/>
    </row>
    <row r="35" spans="2:8" ht="15" customHeight="1">
      <c r="B35" s="34" t="s">
        <v>122</v>
      </c>
      <c r="C35" s="59" t="s">
        <v>123</v>
      </c>
      <c r="D35" s="60"/>
      <c r="E35" s="80"/>
      <c r="F35" s="61">
        <f t="shared" si="0"/>
        <v>0</v>
      </c>
      <c r="H35" s="5"/>
    </row>
    <row r="36" spans="2:8" ht="15" customHeight="1">
      <c r="B36" s="102" t="s">
        <v>125</v>
      </c>
      <c r="C36" s="290" t="s">
        <v>126</v>
      </c>
      <c r="D36" s="292"/>
      <c r="E36" s="81"/>
      <c r="F36" s="61">
        <f t="shared" si="0"/>
        <v>0</v>
      </c>
      <c r="H36" s="5"/>
    </row>
    <row r="37" spans="2:8" ht="15" customHeight="1">
      <c r="B37" s="293" t="s">
        <v>128</v>
      </c>
      <c r="C37" s="294"/>
      <c r="D37" s="295"/>
      <c r="E37" s="86">
        <f>SUM(E30:E36)</f>
        <v>0</v>
      </c>
      <c r="F37" s="69">
        <f>SUM(F29:F36)</f>
        <v>955.2</v>
      </c>
      <c r="H37" s="5"/>
    </row>
    <row r="38" spans="2:8" ht="15" customHeight="1">
      <c r="H38" s="5"/>
    </row>
    <row r="39" spans="2:8" ht="15" customHeight="1">
      <c r="B39" s="362" t="s">
        <v>130</v>
      </c>
      <c r="C39" s="362"/>
      <c r="D39" s="362" t="s">
        <v>131</v>
      </c>
      <c r="E39" s="362"/>
      <c r="F39" s="362"/>
      <c r="H39" s="5"/>
    </row>
    <row r="40" spans="2:8" ht="15" customHeight="1">
      <c r="B40" s="101">
        <v>2</v>
      </c>
      <c r="C40" s="362" t="s">
        <v>132</v>
      </c>
      <c r="D40" s="362"/>
      <c r="E40" s="362"/>
      <c r="F40" s="68" t="s">
        <v>108</v>
      </c>
      <c r="H40" s="5"/>
    </row>
    <row r="41" spans="2:8" ht="15" customHeight="1">
      <c r="B41" s="102" t="s">
        <v>78</v>
      </c>
      <c r="C41" s="334" t="s">
        <v>133</v>
      </c>
      <c r="D41" s="335"/>
      <c r="E41" s="336"/>
      <c r="F41" s="120">
        <v>0</v>
      </c>
      <c r="H41" s="5"/>
    </row>
    <row r="42" spans="2:8" ht="15" customHeight="1">
      <c r="B42" s="102" t="s">
        <v>83</v>
      </c>
      <c r="C42" s="393" t="s">
        <v>134</v>
      </c>
      <c r="D42" s="393"/>
      <c r="E42" s="393"/>
      <c r="F42" s="33">
        <v>97.1</v>
      </c>
      <c r="H42" s="5"/>
    </row>
    <row r="43" spans="2:8" ht="15" customHeight="1">
      <c r="B43" s="34" t="s">
        <v>86</v>
      </c>
      <c r="C43" s="382" t="s">
        <v>135</v>
      </c>
      <c r="D43" s="382"/>
      <c r="E43" s="382"/>
      <c r="F43" s="62">
        <v>0</v>
      </c>
      <c r="H43" s="5"/>
    </row>
    <row r="44" spans="2:8" ht="15" customHeight="1">
      <c r="B44" s="34" t="s">
        <v>88</v>
      </c>
      <c r="C44" s="382" t="s">
        <v>136</v>
      </c>
      <c r="D44" s="382"/>
      <c r="E44" s="382"/>
      <c r="F44" s="62">
        <v>0</v>
      </c>
      <c r="H44" s="5"/>
    </row>
    <row r="45" spans="2:8" ht="15" customHeight="1">
      <c r="B45" s="34" t="s">
        <v>113</v>
      </c>
      <c r="C45" s="382" t="s">
        <v>138</v>
      </c>
      <c r="D45" s="382"/>
      <c r="E45" s="382"/>
      <c r="F45" s="62">
        <v>0</v>
      </c>
      <c r="H45" s="5"/>
    </row>
    <row r="46" spans="2:8" ht="15" customHeight="1">
      <c r="B46" s="102" t="s">
        <v>116</v>
      </c>
      <c r="C46" s="382" t="s">
        <v>258</v>
      </c>
      <c r="D46" s="382"/>
      <c r="E46" s="382"/>
      <c r="F46" s="62">
        <v>3.53</v>
      </c>
      <c r="H46" s="5"/>
    </row>
    <row r="47" spans="2:8" ht="15" customHeight="1">
      <c r="B47" s="102" t="s">
        <v>122</v>
      </c>
      <c r="C47" s="382" t="s">
        <v>280</v>
      </c>
      <c r="D47" s="382"/>
      <c r="E47" s="382"/>
      <c r="F47" s="62">
        <v>10</v>
      </c>
      <c r="H47" s="5"/>
    </row>
    <row r="48" spans="2:8" ht="15" customHeight="1">
      <c r="B48" s="362" t="s">
        <v>143</v>
      </c>
      <c r="C48" s="362"/>
      <c r="D48" s="362"/>
      <c r="E48" s="362"/>
      <c r="F48" s="69">
        <f>SUM(F41:F47)</f>
        <v>110.63</v>
      </c>
      <c r="H48" s="5"/>
    </row>
    <row r="49" spans="2:8" ht="27.75" customHeight="1">
      <c r="B49" s="34" t="s">
        <v>145</v>
      </c>
      <c r="C49" s="309" t="s">
        <v>146</v>
      </c>
      <c r="D49" s="310"/>
      <c r="E49" s="310"/>
      <c r="F49" s="311"/>
      <c r="H49" s="5"/>
    </row>
    <row r="50" spans="2:8" ht="35.25" customHeight="1">
      <c r="B50" s="317" t="s">
        <v>148</v>
      </c>
      <c r="C50" s="373" t="s">
        <v>149</v>
      </c>
      <c r="D50" s="374"/>
      <c r="E50" s="374"/>
      <c r="F50" s="375"/>
      <c r="H50" s="5"/>
    </row>
    <row r="51" spans="2:8" ht="11.25" customHeight="1">
      <c r="B51" s="318"/>
      <c r="C51" s="376"/>
      <c r="D51" s="377"/>
      <c r="E51" s="377"/>
      <c r="F51" s="378"/>
      <c r="H51" s="5"/>
    </row>
    <row r="52" spans="2:8" ht="21.75" customHeight="1">
      <c r="B52" s="318"/>
      <c r="C52" s="376"/>
      <c r="D52" s="377"/>
      <c r="E52" s="377"/>
      <c r="F52" s="378"/>
      <c r="H52" s="5"/>
    </row>
    <row r="53" spans="2:8" ht="20.25" customHeight="1">
      <c r="B53" s="319"/>
      <c r="C53" s="379"/>
      <c r="D53" s="380"/>
      <c r="E53" s="380"/>
      <c r="F53" s="381"/>
      <c r="H53" s="5"/>
    </row>
    <row r="54" spans="2:8" ht="15" customHeight="1">
      <c r="H54" s="5"/>
    </row>
    <row r="55" spans="2:8" ht="15" customHeight="1">
      <c r="B55" s="293" t="s">
        <v>153</v>
      </c>
      <c r="C55" s="295"/>
      <c r="D55" s="293" t="s">
        <v>154</v>
      </c>
      <c r="E55" s="294"/>
      <c r="F55" s="295"/>
      <c r="H55" s="5"/>
    </row>
    <row r="56" spans="2:8" ht="15" customHeight="1">
      <c r="B56" s="101">
        <v>3</v>
      </c>
      <c r="C56" s="293" t="s">
        <v>155</v>
      </c>
      <c r="D56" s="294"/>
      <c r="E56" s="295"/>
      <c r="F56" s="68" t="s">
        <v>108</v>
      </c>
      <c r="H56" s="5"/>
    </row>
    <row r="57" spans="2:8" ht="15" customHeight="1">
      <c r="B57" s="34" t="s">
        <v>78</v>
      </c>
      <c r="C57" s="334" t="s">
        <v>156</v>
      </c>
      <c r="D57" s="335"/>
      <c r="E57" s="336"/>
      <c r="F57" s="116">
        <v>12</v>
      </c>
      <c r="H57" s="5"/>
    </row>
    <row r="58" spans="2:8" ht="15" customHeight="1">
      <c r="B58" s="34" t="s">
        <v>83</v>
      </c>
      <c r="C58" s="334" t="s">
        <v>157</v>
      </c>
      <c r="D58" s="335"/>
      <c r="E58" s="336"/>
      <c r="F58" s="116">
        <v>623.64</v>
      </c>
      <c r="H58" s="5"/>
    </row>
    <row r="59" spans="2:8" ht="15" customHeight="1">
      <c r="B59" s="34" t="s">
        <v>86</v>
      </c>
      <c r="C59" s="290" t="s">
        <v>158</v>
      </c>
      <c r="D59" s="291"/>
      <c r="E59" s="292"/>
      <c r="F59" s="35">
        <v>0</v>
      </c>
      <c r="H59" s="5"/>
    </row>
    <row r="60" spans="2:8" ht="15" customHeight="1">
      <c r="B60" s="102" t="s">
        <v>88</v>
      </c>
      <c r="C60" s="322" t="s">
        <v>259</v>
      </c>
      <c r="D60" s="328"/>
      <c r="E60" s="323"/>
      <c r="F60" s="36">
        <f>F59*-0.8</f>
        <v>0</v>
      </c>
      <c r="H60" s="5"/>
    </row>
    <row r="61" spans="2:8" ht="15" customHeight="1">
      <c r="B61" s="293" t="s">
        <v>159</v>
      </c>
      <c r="C61" s="294"/>
      <c r="D61" s="294"/>
      <c r="E61" s="295"/>
      <c r="F61" s="69">
        <f>SUM(F57:F60)</f>
        <v>635.64</v>
      </c>
      <c r="H61" s="5"/>
    </row>
    <row r="62" spans="2:8" ht="15" customHeight="1">
      <c r="B62" s="37" t="s">
        <v>103</v>
      </c>
      <c r="C62" s="306" t="s">
        <v>160</v>
      </c>
      <c r="D62" s="307"/>
      <c r="E62" s="307"/>
      <c r="F62" s="308"/>
      <c r="H62" s="5"/>
    </row>
    <row r="63" spans="2:8" ht="15" customHeight="1">
      <c r="H63" s="5"/>
    </row>
    <row r="64" spans="2:8" ht="15" customHeight="1">
      <c r="B64" s="293" t="s">
        <v>161</v>
      </c>
      <c r="C64" s="295"/>
      <c r="D64" s="293" t="s">
        <v>162</v>
      </c>
      <c r="E64" s="294"/>
      <c r="F64" s="295"/>
      <c r="H64" s="5"/>
    </row>
    <row r="65" spans="2:8" ht="15" customHeight="1">
      <c r="B65" s="293" t="s">
        <v>163</v>
      </c>
      <c r="C65" s="295"/>
      <c r="D65" s="293" t="s">
        <v>164</v>
      </c>
      <c r="E65" s="294"/>
      <c r="F65" s="295"/>
      <c r="H65" s="5"/>
    </row>
    <row r="66" spans="2:8" ht="15" customHeight="1">
      <c r="B66" s="101" t="s">
        <v>165</v>
      </c>
      <c r="C66" s="293" t="s">
        <v>164</v>
      </c>
      <c r="D66" s="295"/>
      <c r="E66" s="87" t="s">
        <v>166</v>
      </c>
      <c r="F66" s="68" t="s">
        <v>108</v>
      </c>
      <c r="H66" s="5"/>
    </row>
    <row r="67" spans="2:8" ht="15" customHeight="1">
      <c r="B67" s="34" t="s">
        <v>78</v>
      </c>
      <c r="C67" s="290" t="s">
        <v>167</v>
      </c>
      <c r="D67" s="292"/>
      <c r="E67" s="80">
        <v>0.2</v>
      </c>
      <c r="F67" s="38">
        <f>E67*$F$37</f>
        <v>191.04</v>
      </c>
      <c r="H67" s="5"/>
    </row>
    <row r="68" spans="2:8" ht="15" customHeight="1">
      <c r="B68" s="34" t="s">
        <v>83</v>
      </c>
      <c r="C68" s="290" t="s">
        <v>168</v>
      </c>
      <c r="D68" s="292"/>
      <c r="E68" s="80">
        <v>1.4999999999999999E-2</v>
      </c>
      <c r="F68" s="38">
        <f t="shared" ref="F68:F74" si="1">E68*$F$37</f>
        <v>14.33</v>
      </c>
      <c r="H68" s="5"/>
    </row>
    <row r="69" spans="2:8" ht="15" customHeight="1">
      <c r="B69" s="34" t="s">
        <v>86</v>
      </c>
      <c r="C69" s="290" t="s">
        <v>169</v>
      </c>
      <c r="D69" s="292"/>
      <c r="E69" s="80">
        <v>0.01</v>
      </c>
      <c r="F69" s="38">
        <f t="shared" si="1"/>
        <v>9.5500000000000007</v>
      </c>
      <c r="H69" s="5"/>
    </row>
    <row r="70" spans="2:8" ht="15" customHeight="1">
      <c r="B70" s="34" t="s">
        <v>88</v>
      </c>
      <c r="C70" s="290" t="s">
        <v>170</v>
      </c>
      <c r="D70" s="292"/>
      <c r="E70" s="80">
        <v>2E-3</v>
      </c>
      <c r="F70" s="38">
        <f t="shared" si="1"/>
        <v>1.91</v>
      </c>
      <c r="H70" s="5"/>
    </row>
    <row r="71" spans="2:8" ht="15" customHeight="1">
      <c r="B71" s="34" t="s">
        <v>113</v>
      </c>
      <c r="C71" s="290" t="s">
        <v>171</v>
      </c>
      <c r="D71" s="292"/>
      <c r="E71" s="80">
        <v>2.5000000000000001E-2</v>
      </c>
      <c r="F71" s="38">
        <f t="shared" si="1"/>
        <v>23.88</v>
      </c>
      <c r="H71" s="5"/>
    </row>
    <row r="72" spans="2:8" ht="15" customHeight="1">
      <c r="B72" s="34" t="s">
        <v>116</v>
      </c>
      <c r="C72" s="290" t="s">
        <v>172</v>
      </c>
      <c r="D72" s="292"/>
      <c r="E72" s="80">
        <v>0.08</v>
      </c>
      <c r="F72" s="38">
        <f t="shared" si="1"/>
        <v>76.42</v>
      </c>
      <c r="H72" s="5"/>
    </row>
    <row r="73" spans="2:8" ht="15" customHeight="1">
      <c r="B73" s="34" t="s">
        <v>122</v>
      </c>
      <c r="C73" s="290" t="s">
        <v>261</v>
      </c>
      <c r="D73" s="292"/>
      <c r="E73" s="80">
        <v>2.3E-2</v>
      </c>
      <c r="F73" s="38">
        <f t="shared" si="1"/>
        <v>21.97</v>
      </c>
      <c r="H73" s="5"/>
    </row>
    <row r="74" spans="2:8" ht="15" customHeight="1">
      <c r="B74" s="34" t="s">
        <v>125</v>
      </c>
      <c r="C74" s="290" t="s">
        <v>174</v>
      </c>
      <c r="D74" s="292"/>
      <c r="E74" s="80">
        <v>6.0000000000000001E-3</v>
      </c>
      <c r="F74" s="38">
        <f t="shared" si="1"/>
        <v>5.73</v>
      </c>
      <c r="H74" s="5"/>
    </row>
    <row r="75" spans="2:8" ht="15" customHeight="1">
      <c r="B75" s="293" t="s">
        <v>57</v>
      </c>
      <c r="C75" s="294"/>
      <c r="D75" s="295"/>
      <c r="E75" s="79">
        <f>SUM(E67:E74)</f>
        <v>0.36099999999999999</v>
      </c>
      <c r="F75" s="69">
        <f>SUM(F67:F74)</f>
        <v>344.83</v>
      </c>
      <c r="H75" s="5"/>
    </row>
    <row r="76" spans="2:8" ht="15" customHeight="1">
      <c r="B76" s="39" t="s">
        <v>145</v>
      </c>
      <c r="C76" s="309" t="s">
        <v>175</v>
      </c>
      <c r="D76" s="310"/>
      <c r="E76" s="310"/>
      <c r="F76" s="311"/>
      <c r="H76" s="5"/>
    </row>
    <row r="77" spans="2:8" ht="15" customHeight="1">
      <c r="B77" s="39" t="s">
        <v>148</v>
      </c>
      <c r="C77" s="331" t="s">
        <v>176</v>
      </c>
      <c r="D77" s="332"/>
      <c r="E77" s="332"/>
      <c r="F77" s="333"/>
      <c r="H77" s="5"/>
    </row>
    <row r="78" spans="2:8" ht="15" customHeight="1">
      <c r="H78" s="5"/>
    </row>
    <row r="79" spans="2:8" ht="15" customHeight="1">
      <c r="B79" s="293" t="s">
        <v>177</v>
      </c>
      <c r="C79" s="295"/>
      <c r="D79" s="293" t="s">
        <v>178</v>
      </c>
      <c r="E79" s="294"/>
      <c r="F79" s="295"/>
      <c r="H79" s="5"/>
    </row>
    <row r="80" spans="2:8" ht="15" customHeight="1">
      <c r="B80" s="101" t="s">
        <v>179</v>
      </c>
      <c r="C80" s="293" t="s">
        <v>180</v>
      </c>
      <c r="D80" s="295"/>
      <c r="E80" s="87" t="s">
        <v>166</v>
      </c>
      <c r="F80" s="68" t="s">
        <v>108</v>
      </c>
      <c r="H80" s="5"/>
    </row>
    <row r="81" spans="2:8" ht="15" customHeight="1">
      <c r="B81" s="34" t="s">
        <v>78</v>
      </c>
      <c r="C81" s="290" t="s">
        <v>181</v>
      </c>
      <c r="D81" s="292"/>
      <c r="E81" s="80">
        <v>8.3330000000000001E-2</v>
      </c>
      <c r="F81" s="38">
        <f t="shared" ref="F81:F82" si="2">E81*$F$37</f>
        <v>79.599999999999994</v>
      </c>
      <c r="H81" s="5"/>
    </row>
    <row r="82" spans="2:8" ht="15" customHeight="1">
      <c r="B82" s="64" t="s">
        <v>83</v>
      </c>
      <c r="C82" s="329" t="s">
        <v>182</v>
      </c>
      <c r="D82" s="330"/>
      <c r="E82" s="82">
        <v>2.7779999999999999E-2</v>
      </c>
      <c r="F82" s="38">
        <f t="shared" si="2"/>
        <v>26.54</v>
      </c>
      <c r="H82" s="5"/>
    </row>
    <row r="83" spans="2:8" ht="15" customHeight="1">
      <c r="B83" s="293" t="s">
        <v>183</v>
      </c>
      <c r="C83" s="294"/>
      <c r="D83" s="295"/>
      <c r="E83" s="83">
        <f>SUM(E81:E82)</f>
        <v>0.11111</v>
      </c>
      <c r="F83" s="70">
        <f>SUM(F81:F82)</f>
        <v>106.14</v>
      </c>
      <c r="H83" s="5"/>
    </row>
    <row r="84" spans="2:8" s="63" customFormat="1" ht="15" customHeight="1">
      <c r="B84" s="102" t="s">
        <v>86</v>
      </c>
      <c r="C84" s="322" t="s">
        <v>184</v>
      </c>
      <c r="D84" s="323"/>
      <c r="E84" s="88">
        <f>E75*E83</f>
        <v>4.011E-2</v>
      </c>
      <c r="F84" s="94">
        <f>F83*E75</f>
        <v>38.32</v>
      </c>
    </row>
    <row r="85" spans="2:8" ht="15" customHeight="1">
      <c r="B85" s="293" t="s">
        <v>57</v>
      </c>
      <c r="C85" s="294"/>
      <c r="D85" s="295"/>
      <c r="E85" s="79">
        <f>SUM(E83:E84)</f>
        <v>0.15121999999999999</v>
      </c>
      <c r="F85" s="71">
        <f>SUM(F83:F84)</f>
        <v>144.46</v>
      </c>
      <c r="H85" s="5"/>
    </row>
    <row r="86" spans="2:8" ht="15" customHeight="1">
      <c r="H86" s="5"/>
    </row>
    <row r="87" spans="2:8" ht="15" customHeight="1">
      <c r="B87" s="293" t="s">
        <v>185</v>
      </c>
      <c r="C87" s="295"/>
      <c r="D87" s="293" t="s">
        <v>186</v>
      </c>
      <c r="E87" s="294"/>
      <c r="F87" s="295"/>
      <c r="H87" s="5"/>
    </row>
    <row r="88" spans="2:8" ht="15" customHeight="1">
      <c r="B88" s="101" t="s">
        <v>187</v>
      </c>
      <c r="C88" s="293" t="s">
        <v>186</v>
      </c>
      <c r="D88" s="295"/>
      <c r="E88" s="87" t="s">
        <v>166</v>
      </c>
      <c r="F88" s="68" t="s">
        <v>108</v>
      </c>
      <c r="H88" s="5"/>
    </row>
    <row r="89" spans="2:8" ht="15" customHeight="1">
      <c r="B89" s="34" t="s">
        <v>78</v>
      </c>
      <c r="C89" s="290" t="s">
        <v>186</v>
      </c>
      <c r="D89" s="292"/>
      <c r="E89" s="78">
        <v>2.8700000000000002E-3</v>
      </c>
      <c r="F89" s="38">
        <f t="shared" ref="F89" si="3">E89*$F$37</f>
        <v>2.74</v>
      </c>
      <c r="H89" s="5"/>
    </row>
    <row r="90" spans="2:8" ht="15" customHeight="1">
      <c r="B90" s="102" t="s">
        <v>83</v>
      </c>
      <c r="C90" s="322" t="s">
        <v>188</v>
      </c>
      <c r="D90" s="323"/>
      <c r="E90" s="88">
        <f>E75*E89</f>
        <v>1.0399999999999999E-3</v>
      </c>
      <c r="F90" s="94">
        <f>F89*E75</f>
        <v>0.99</v>
      </c>
      <c r="H90" s="5"/>
    </row>
    <row r="91" spans="2:8" ht="15" customHeight="1">
      <c r="B91" s="293" t="s">
        <v>57</v>
      </c>
      <c r="C91" s="294"/>
      <c r="D91" s="295"/>
      <c r="E91" s="89">
        <f>SUM(E89:E90)</f>
        <v>3.9100000000000003E-3</v>
      </c>
      <c r="F91" s="69">
        <f>SUM(F89:F90)</f>
        <v>3.73</v>
      </c>
      <c r="H91" s="5"/>
    </row>
    <row r="92" spans="2:8" ht="15" customHeight="1">
      <c r="H92" s="5"/>
    </row>
    <row r="93" spans="2:8" ht="15" customHeight="1">
      <c r="B93" s="293" t="s">
        <v>189</v>
      </c>
      <c r="C93" s="295"/>
      <c r="D93" s="293" t="s">
        <v>190</v>
      </c>
      <c r="E93" s="294"/>
      <c r="F93" s="295"/>
      <c r="H93" s="5"/>
    </row>
    <row r="94" spans="2:8" ht="15" customHeight="1">
      <c r="B94" s="101" t="s">
        <v>191</v>
      </c>
      <c r="C94" s="293" t="s">
        <v>190</v>
      </c>
      <c r="D94" s="295"/>
      <c r="E94" s="87" t="s">
        <v>166</v>
      </c>
      <c r="F94" s="68" t="s">
        <v>108</v>
      </c>
      <c r="H94" s="5"/>
    </row>
    <row r="95" spans="2:8" ht="15" customHeight="1">
      <c r="B95" s="34" t="s">
        <v>78</v>
      </c>
      <c r="C95" s="290" t="s">
        <v>192</v>
      </c>
      <c r="D95" s="292"/>
      <c r="E95" s="78">
        <v>4.1700000000000001E-3</v>
      </c>
      <c r="F95" s="38">
        <f t="shared" ref="F95" si="4">E95*$F$37</f>
        <v>3.98</v>
      </c>
      <c r="H95" s="5"/>
    </row>
    <row r="96" spans="2:8" ht="15" customHeight="1">
      <c r="B96" s="34" t="s">
        <v>83</v>
      </c>
      <c r="C96" s="326" t="s">
        <v>193</v>
      </c>
      <c r="D96" s="327"/>
      <c r="E96" s="78">
        <f>E95*E72</f>
        <v>3.3E-4</v>
      </c>
      <c r="F96" s="38">
        <f>F95*E72</f>
        <v>0.32</v>
      </c>
      <c r="H96" s="5"/>
    </row>
    <row r="97" spans="2:8" ht="15" customHeight="1">
      <c r="B97" s="34" t="s">
        <v>86</v>
      </c>
      <c r="C97" s="290" t="s">
        <v>194</v>
      </c>
      <c r="D97" s="292"/>
      <c r="E97" s="78">
        <v>3.2000000000000001E-2</v>
      </c>
      <c r="F97" s="38">
        <f t="shared" ref="F97:F98" si="5">E97*$F$37</f>
        <v>30.57</v>
      </c>
      <c r="H97" s="5"/>
    </row>
    <row r="98" spans="2:8" ht="15" customHeight="1">
      <c r="B98" s="34" t="s">
        <v>88</v>
      </c>
      <c r="C98" s="290" t="s">
        <v>195</v>
      </c>
      <c r="D98" s="292"/>
      <c r="E98" s="78">
        <v>1.9439999999999999E-2</v>
      </c>
      <c r="F98" s="38">
        <f t="shared" si="5"/>
        <v>18.57</v>
      </c>
      <c r="H98" s="5"/>
    </row>
    <row r="99" spans="2:8" ht="15" customHeight="1">
      <c r="B99" s="34" t="s">
        <v>113</v>
      </c>
      <c r="C99" s="326" t="s">
        <v>196</v>
      </c>
      <c r="D99" s="327"/>
      <c r="E99" s="78">
        <f>E98*E75</f>
        <v>7.0200000000000002E-3</v>
      </c>
      <c r="F99" s="94">
        <f>F98*E75</f>
        <v>6.7</v>
      </c>
      <c r="H99" s="5"/>
    </row>
    <row r="100" spans="2:8" ht="15" customHeight="1">
      <c r="B100" s="102" t="s">
        <v>88</v>
      </c>
      <c r="C100" s="290" t="s">
        <v>197</v>
      </c>
      <c r="D100" s="292"/>
      <c r="E100" s="78">
        <v>8.0000000000000002E-3</v>
      </c>
      <c r="F100" s="38">
        <f t="shared" ref="F100" si="6">E100*$F$37</f>
        <v>7.64</v>
      </c>
      <c r="H100" s="5"/>
    </row>
    <row r="101" spans="2:8" ht="15" customHeight="1">
      <c r="B101" s="293" t="s">
        <v>57</v>
      </c>
      <c r="C101" s="294"/>
      <c r="D101" s="295"/>
      <c r="E101" s="79">
        <f>SUM(E95:E100)</f>
        <v>7.0959999999999995E-2</v>
      </c>
      <c r="F101" s="69">
        <f>SUM(F95:F100)</f>
        <v>67.78</v>
      </c>
      <c r="H101" s="5"/>
    </row>
    <row r="102" spans="2:8" ht="27" customHeight="1">
      <c r="B102" s="32" t="s">
        <v>145</v>
      </c>
      <c r="C102" s="322" t="s">
        <v>198</v>
      </c>
      <c r="D102" s="328"/>
      <c r="E102" s="328"/>
      <c r="F102" s="323"/>
      <c r="H102" s="5"/>
    </row>
    <row r="103" spans="2:8" ht="24.75" customHeight="1">
      <c r="B103" s="32" t="s">
        <v>148</v>
      </c>
      <c r="C103" s="322" t="s">
        <v>199</v>
      </c>
      <c r="D103" s="328"/>
      <c r="E103" s="328"/>
      <c r="F103" s="323"/>
      <c r="H103" s="5"/>
    </row>
    <row r="104" spans="2:8" ht="15" customHeight="1">
      <c r="H104" s="5"/>
    </row>
    <row r="105" spans="2:8" ht="15" customHeight="1">
      <c r="B105" s="293" t="s">
        <v>200</v>
      </c>
      <c r="C105" s="295"/>
      <c r="D105" s="293" t="s">
        <v>201</v>
      </c>
      <c r="E105" s="294"/>
      <c r="F105" s="295"/>
      <c r="H105" s="5"/>
    </row>
    <row r="106" spans="2:8" ht="15" customHeight="1">
      <c r="B106" s="101" t="s">
        <v>202</v>
      </c>
      <c r="C106" s="324" t="s">
        <v>203</v>
      </c>
      <c r="D106" s="325"/>
      <c r="E106" s="87" t="s">
        <v>166</v>
      </c>
      <c r="F106" s="68" t="s">
        <v>108</v>
      </c>
      <c r="H106" s="5"/>
    </row>
    <row r="107" spans="2:8" ht="15" customHeight="1">
      <c r="B107" s="34" t="s">
        <v>78</v>
      </c>
      <c r="C107" s="290" t="s">
        <v>204</v>
      </c>
      <c r="D107" s="292"/>
      <c r="E107" s="80">
        <v>0.11111</v>
      </c>
      <c r="F107" s="38">
        <f t="shared" ref="F107:F112" si="7">E107*$F$37</f>
        <v>106.13</v>
      </c>
      <c r="H107" s="5"/>
    </row>
    <row r="108" spans="2:8" ht="15" customHeight="1">
      <c r="B108" s="34" t="s">
        <v>83</v>
      </c>
      <c r="C108" s="326" t="s">
        <v>205</v>
      </c>
      <c r="D108" s="327"/>
      <c r="E108" s="80">
        <v>1.389E-2</v>
      </c>
      <c r="F108" s="38">
        <f t="shared" si="7"/>
        <v>13.27</v>
      </c>
      <c r="H108" s="5"/>
    </row>
    <row r="109" spans="2:8" ht="15" customHeight="1">
      <c r="B109" s="34" t="s">
        <v>86</v>
      </c>
      <c r="C109" s="290" t="s">
        <v>206</v>
      </c>
      <c r="D109" s="292"/>
      <c r="E109" s="80">
        <v>2.1000000000000001E-4</v>
      </c>
      <c r="F109" s="38">
        <f t="shared" si="7"/>
        <v>0.2</v>
      </c>
      <c r="H109" s="5"/>
    </row>
    <row r="110" spans="2:8" ht="15" customHeight="1">
      <c r="B110" s="34" t="s">
        <v>88</v>
      </c>
      <c r="C110" s="290" t="s">
        <v>207</v>
      </c>
      <c r="D110" s="292"/>
      <c r="E110" s="80">
        <v>2.7799999999999999E-3</v>
      </c>
      <c r="F110" s="38">
        <f t="shared" si="7"/>
        <v>2.66</v>
      </c>
      <c r="H110" s="5"/>
    </row>
    <row r="111" spans="2:8" ht="15" customHeight="1">
      <c r="B111" s="34" t="s">
        <v>113</v>
      </c>
      <c r="C111" s="290" t="s">
        <v>208</v>
      </c>
      <c r="D111" s="292"/>
      <c r="E111" s="80">
        <v>3.3300000000000001E-3</v>
      </c>
      <c r="F111" s="38">
        <f t="shared" si="7"/>
        <v>3.18</v>
      </c>
      <c r="H111" s="5"/>
    </row>
    <row r="112" spans="2:8" ht="15" customHeight="1">
      <c r="B112" s="102" t="s">
        <v>116</v>
      </c>
      <c r="C112" s="322" t="s">
        <v>126</v>
      </c>
      <c r="D112" s="323"/>
      <c r="E112" s="80">
        <v>0</v>
      </c>
      <c r="F112" s="38">
        <f t="shared" si="7"/>
        <v>0</v>
      </c>
      <c r="H112" s="5"/>
    </row>
    <row r="113" spans="2:8" ht="15" customHeight="1">
      <c r="B113" s="293" t="s">
        <v>183</v>
      </c>
      <c r="C113" s="294"/>
      <c r="D113" s="295"/>
      <c r="E113" s="79">
        <f>SUM(E107:E112)</f>
        <v>0.13131999999999999</v>
      </c>
      <c r="F113" s="73">
        <f>SUM(F107:F112)</f>
        <v>125.44</v>
      </c>
      <c r="H113" s="5"/>
    </row>
    <row r="114" spans="2:8" ht="15" customHeight="1">
      <c r="B114" s="102" t="s">
        <v>122</v>
      </c>
      <c r="C114" s="326" t="s">
        <v>209</v>
      </c>
      <c r="D114" s="327"/>
      <c r="E114" s="78">
        <f>E75*E113</f>
        <v>4.7410000000000001E-2</v>
      </c>
      <c r="F114" s="76">
        <f>E75*F113</f>
        <v>45.28</v>
      </c>
      <c r="H114" s="5"/>
    </row>
    <row r="115" spans="2:8" ht="15" customHeight="1">
      <c r="B115" s="293" t="s">
        <v>57</v>
      </c>
      <c r="C115" s="294"/>
      <c r="D115" s="295"/>
      <c r="E115" s="79">
        <f>SUM(E113:E114)</f>
        <v>0.17873</v>
      </c>
      <c r="F115" s="69">
        <f>SUM(F113:F114)</f>
        <v>170.72</v>
      </c>
      <c r="H115" s="5"/>
    </row>
    <row r="116" spans="2:8" ht="15" customHeight="1">
      <c r="H116" s="5"/>
    </row>
    <row r="117" spans="2:8" ht="15" customHeight="1">
      <c r="B117" s="293" t="s">
        <v>210</v>
      </c>
      <c r="C117" s="295"/>
      <c r="D117" s="293" t="s">
        <v>211</v>
      </c>
      <c r="E117" s="294"/>
      <c r="F117" s="295"/>
      <c r="H117" s="5"/>
    </row>
    <row r="118" spans="2:8" ht="15" customHeight="1">
      <c r="B118" s="101">
        <v>4</v>
      </c>
      <c r="C118" s="324" t="s">
        <v>212</v>
      </c>
      <c r="D118" s="325"/>
      <c r="E118" s="87" t="s">
        <v>166</v>
      </c>
      <c r="F118" s="68" t="s">
        <v>108</v>
      </c>
      <c r="H118" s="5"/>
    </row>
    <row r="119" spans="2:8" ht="15" customHeight="1">
      <c r="B119" s="34" t="s">
        <v>165</v>
      </c>
      <c r="C119" s="290" t="str">
        <f>D65</f>
        <v>Encargos Previdenciários e FGTS</v>
      </c>
      <c r="D119" s="292"/>
      <c r="E119" s="90">
        <f>E75</f>
        <v>0.36099999999999999</v>
      </c>
      <c r="F119" s="38">
        <f>F75</f>
        <v>344.83</v>
      </c>
      <c r="H119" s="5"/>
    </row>
    <row r="120" spans="2:8" ht="15" customHeight="1">
      <c r="B120" s="34" t="s">
        <v>179</v>
      </c>
      <c r="C120" s="326" t="str">
        <f>D79</f>
        <v>13° Salário e Adicional de Férias</v>
      </c>
      <c r="D120" s="327"/>
      <c r="E120" s="90">
        <f>E85</f>
        <v>0.15121999999999999</v>
      </c>
      <c r="F120" s="38">
        <f>F85</f>
        <v>144.46</v>
      </c>
      <c r="H120" s="5"/>
    </row>
    <row r="121" spans="2:8" ht="15" customHeight="1">
      <c r="B121" s="34" t="s">
        <v>187</v>
      </c>
      <c r="C121" s="290" t="str">
        <f>D87</f>
        <v>Afastamento Maternidade</v>
      </c>
      <c r="D121" s="292"/>
      <c r="E121" s="90">
        <f>E91</f>
        <v>3.9100000000000003E-3</v>
      </c>
      <c r="F121" s="38">
        <f>F91</f>
        <v>3.73</v>
      </c>
      <c r="H121" s="5"/>
    </row>
    <row r="122" spans="2:8" ht="15" customHeight="1">
      <c r="B122" s="34" t="s">
        <v>191</v>
      </c>
      <c r="C122" s="290" t="str">
        <f>D93</f>
        <v>Provisão para Rescisão</v>
      </c>
      <c r="D122" s="292"/>
      <c r="E122" s="90">
        <f>E101</f>
        <v>7.0959999999999995E-2</v>
      </c>
      <c r="F122" s="38">
        <f>F101</f>
        <v>67.78</v>
      </c>
      <c r="H122" s="5"/>
    </row>
    <row r="123" spans="2:8" ht="15" customHeight="1">
      <c r="B123" s="34" t="s">
        <v>202</v>
      </c>
      <c r="C123" s="290" t="str">
        <f>D105</f>
        <v>Custo de Reposição do Profissional Ausente</v>
      </c>
      <c r="D123" s="292"/>
      <c r="E123" s="90">
        <f>E115</f>
        <v>0.17873</v>
      </c>
      <c r="F123" s="38">
        <f>F115</f>
        <v>170.72</v>
      </c>
      <c r="H123" s="5"/>
    </row>
    <row r="124" spans="2:8" ht="15" customHeight="1">
      <c r="B124" s="102" t="s">
        <v>213</v>
      </c>
      <c r="C124" s="322" t="s">
        <v>126</v>
      </c>
      <c r="D124" s="323"/>
      <c r="E124" s="90">
        <v>0</v>
      </c>
      <c r="F124" s="38">
        <v>0</v>
      </c>
      <c r="H124" s="5"/>
    </row>
    <row r="125" spans="2:8" ht="15" customHeight="1">
      <c r="B125" s="293" t="s">
        <v>57</v>
      </c>
      <c r="C125" s="294"/>
      <c r="D125" s="295"/>
      <c r="E125" s="89">
        <f>SUM(E119:E124)</f>
        <v>0.76581999999999995</v>
      </c>
      <c r="F125" s="69">
        <f>SUM(F119:F124)</f>
        <v>731.52</v>
      </c>
      <c r="H125" s="5"/>
    </row>
    <row r="126" spans="2:8" ht="15" customHeight="1">
      <c r="H126" s="5"/>
    </row>
    <row r="127" spans="2:8" ht="15" customHeight="1">
      <c r="B127" s="293" t="s">
        <v>214</v>
      </c>
      <c r="C127" s="295"/>
      <c r="D127" s="293" t="s">
        <v>215</v>
      </c>
      <c r="E127" s="294"/>
      <c r="F127" s="295"/>
      <c r="H127" s="5"/>
    </row>
    <row r="128" spans="2:8" ht="15" customHeight="1">
      <c r="B128" s="101">
        <v>5</v>
      </c>
      <c r="C128" s="293" t="s">
        <v>216</v>
      </c>
      <c r="D128" s="295"/>
      <c r="E128" s="87" t="s">
        <v>166</v>
      </c>
      <c r="F128" s="68" t="s">
        <v>108</v>
      </c>
      <c r="H128" s="5"/>
    </row>
    <row r="129" spans="2:8" ht="15" customHeight="1">
      <c r="B129" s="34" t="s">
        <v>78</v>
      </c>
      <c r="C129" s="315" t="s">
        <v>217</v>
      </c>
      <c r="D129" s="316"/>
      <c r="E129" s="84">
        <v>5.0000000000000001E-3</v>
      </c>
      <c r="F129" s="40">
        <f>E129*F149</f>
        <v>12.16</v>
      </c>
      <c r="H129" s="5"/>
    </row>
    <row r="130" spans="2:8" ht="15" customHeight="1">
      <c r="B130" s="34" t="s">
        <v>83</v>
      </c>
      <c r="C130" s="104" t="s">
        <v>218</v>
      </c>
      <c r="D130" s="104"/>
      <c r="E130" s="84">
        <v>5.0000000000000001E-3</v>
      </c>
      <c r="F130" s="40">
        <f>E130*(F149+F129)</f>
        <v>12.23</v>
      </c>
      <c r="H130" s="5"/>
    </row>
    <row r="131" spans="2:8" ht="15" customHeight="1">
      <c r="B131" s="303" t="s">
        <v>219</v>
      </c>
      <c r="C131" s="304"/>
      <c r="D131" s="305"/>
      <c r="E131" s="79">
        <f>SUM(E129:E130)</f>
        <v>0.01</v>
      </c>
      <c r="F131" s="69">
        <f>SUM(F129:F130)</f>
        <v>24.39</v>
      </c>
      <c r="H131" s="5"/>
    </row>
    <row r="132" spans="2:8" ht="15" customHeight="1">
      <c r="B132" s="317" t="s">
        <v>86</v>
      </c>
      <c r="C132" s="290" t="s">
        <v>220</v>
      </c>
      <c r="D132" s="291"/>
      <c r="E132" s="291"/>
      <c r="F132" s="292"/>
      <c r="H132" s="5"/>
    </row>
    <row r="133" spans="2:8" ht="15" customHeight="1">
      <c r="B133" s="318"/>
      <c r="C133" s="320" t="s">
        <v>221</v>
      </c>
      <c r="D133" s="42" t="s">
        <v>222</v>
      </c>
      <c r="E133" s="80">
        <v>7.5999999999999998E-2</v>
      </c>
      <c r="F133" s="41">
        <f>(($F$149+$F$129+$F$130)/(1-$E$137))*E133</f>
        <v>217.8</v>
      </c>
      <c r="H133" s="5"/>
    </row>
    <row r="134" spans="2:8" ht="15" customHeight="1">
      <c r="B134" s="318"/>
      <c r="C134" s="321"/>
      <c r="D134" s="42" t="s">
        <v>223</v>
      </c>
      <c r="E134" s="80">
        <v>1.6500000000000001E-2</v>
      </c>
      <c r="F134" s="41">
        <f t="shared" ref="F134:F136" si="8">(($F$149+$F$129+$F$130)/(1-$E$137))*E134</f>
        <v>47.28</v>
      </c>
      <c r="H134" s="5"/>
    </row>
    <row r="135" spans="2:8" ht="15" customHeight="1">
      <c r="B135" s="318"/>
      <c r="C135" s="43" t="s">
        <v>224</v>
      </c>
      <c r="D135" s="42" t="s">
        <v>225</v>
      </c>
      <c r="E135" s="80">
        <v>0.05</v>
      </c>
      <c r="F135" s="41">
        <f t="shared" si="8"/>
        <v>143.29</v>
      </c>
      <c r="H135" s="5"/>
    </row>
    <row r="136" spans="2:8" ht="15" customHeight="1">
      <c r="B136" s="319"/>
      <c r="C136" s="43" t="s">
        <v>226</v>
      </c>
      <c r="D136" s="72"/>
      <c r="E136" s="80">
        <v>0</v>
      </c>
      <c r="F136" s="41">
        <f t="shared" si="8"/>
        <v>0</v>
      </c>
      <c r="H136" s="5"/>
    </row>
    <row r="137" spans="2:8" ht="15" customHeight="1">
      <c r="B137" s="303" t="s">
        <v>227</v>
      </c>
      <c r="C137" s="304"/>
      <c r="D137" s="305"/>
      <c r="E137" s="79">
        <f>SUM(E133:E136)</f>
        <v>0.14249999999999999</v>
      </c>
      <c r="F137" s="69">
        <f>SUM(F133:F136)</f>
        <v>408.37</v>
      </c>
      <c r="H137" s="5"/>
    </row>
    <row r="138" spans="2:8" ht="15" customHeight="1">
      <c r="B138" s="293" t="s">
        <v>57</v>
      </c>
      <c r="C138" s="294"/>
      <c r="D138" s="295"/>
      <c r="E138" s="79">
        <f>E131+E137</f>
        <v>0.1525</v>
      </c>
      <c r="F138" s="71">
        <f>SUM(F137,F131)</f>
        <v>432.76</v>
      </c>
      <c r="H138" s="5"/>
    </row>
    <row r="139" spans="2:8" ht="15" customHeight="1">
      <c r="B139" s="39" t="s">
        <v>145</v>
      </c>
      <c r="C139" s="306" t="s">
        <v>228</v>
      </c>
      <c r="D139" s="307"/>
      <c r="E139" s="307"/>
      <c r="F139" s="308"/>
      <c r="H139" s="5"/>
    </row>
    <row r="140" spans="2:8" ht="15" customHeight="1">
      <c r="B140" s="39" t="s">
        <v>148</v>
      </c>
      <c r="C140" s="306" t="s">
        <v>229</v>
      </c>
      <c r="D140" s="307"/>
      <c r="E140" s="307"/>
      <c r="F140" s="308"/>
      <c r="H140" s="5"/>
    </row>
    <row r="141" spans="2:8" ht="25.5" customHeight="1">
      <c r="B141" s="39" t="s">
        <v>230</v>
      </c>
      <c r="C141" s="309" t="s">
        <v>231</v>
      </c>
      <c r="D141" s="310"/>
      <c r="E141" s="310"/>
      <c r="F141" s="311"/>
      <c r="H141" s="5"/>
    </row>
    <row r="142" spans="2:8" ht="15" customHeight="1">
      <c r="H142" s="5"/>
    </row>
    <row r="143" spans="2:8" ht="15" customHeight="1">
      <c r="B143" s="293" t="s">
        <v>232</v>
      </c>
      <c r="C143" s="294"/>
      <c r="D143" s="294"/>
      <c r="E143" s="294"/>
      <c r="F143" s="295"/>
      <c r="H143" s="5"/>
    </row>
    <row r="144" spans="2:8" ht="15" customHeight="1">
      <c r="B144" s="300" t="s">
        <v>233</v>
      </c>
      <c r="C144" s="301"/>
      <c r="D144" s="301"/>
      <c r="E144" s="302"/>
      <c r="F144" s="65" t="s">
        <v>234</v>
      </c>
      <c r="H144" s="5"/>
    </row>
    <row r="145" spans="2:8" ht="15" customHeight="1">
      <c r="B145" s="34" t="s">
        <v>78</v>
      </c>
      <c r="C145" s="290" t="s">
        <v>235</v>
      </c>
      <c r="D145" s="291"/>
      <c r="E145" s="292"/>
      <c r="F145" s="38">
        <f>F37</f>
        <v>955.2</v>
      </c>
      <c r="H145" s="5"/>
    </row>
    <row r="146" spans="2:8" ht="15" customHeight="1">
      <c r="B146" s="34" t="s">
        <v>83</v>
      </c>
      <c r="C146" s="290" t="s">
        <v>236</v>
      </c>
      <c r="D146" s="291"/>
      <c r="E146" s="292"/>
      <c r="F146" s="38">
        <f>F48</f>
        <v>110.63</v>
      </c>
      <c r="H146" s="5"/>
    </row>
    <row r="147" spans="2:8" ht="15" customHeight="1">
      <c r="B147" s="34" t="s">
        <v>86</v>
      </c>
      <c r="C147" s="290" t="s">
        <v>237</v>
      </c>
      <c r="D147" s="291"/>
      <c r="E147" s="292"/>
      <c r="F147" s="38">
        <f>F61</f>
        <v>635.64</v>
      </c>
      <c r="H147" s="5"/>
    </row>
    <row r="148" spans="2:8" ht="15" customHeight="1">
      <c r="B148" s="34" t="s">
        <v>88</v>
      </c>
      <c r="C148" s="290" t="s">
        <v>212</v>
      </c>
      <c r="D148" s="291"/>
      <c r="E148" s="292"/>
      <c r="F148" s="38">
        <f>F125</f>
        <v>731.52</v>
      </c>
      <c r="H148" s="5"/>
    </row>
    <row r="149" spans="2:8" ht="15" customHeight="1">
      <c r="B149" s="293" t="s">
        <v>238</v>
      </c>
      <c r="C149" s="294"/>
      <c r="D149" s="294"/>
      <c r="E149" s="295"/>
      <c r="F149" s="73">
        <f>SUM(F145:F148)</f>
        <v>2432.9899999999998</v>
      </c>
      <c r="H149" s="5"/>
    </row>
    <row r="150" spans="2:8" ht="15" customHeight="1">
      <c r="B150" s="34" t="s">
        <v>113</v>
      </c>
      <c r="C150" s="290" t="s">
        <v>239</v>
      </c>
      <c r="D150" s="291"/>
      <c r="E150" s="292"/>
      <c r="F150" s="38">
        <f>F138</f>
        <v>432.76</v>
      </c>
      <c r="H150" s="5"/>
    </row>
    <row r="151" spans="2:8" ht="15" customHeight="1">
      <c r="B151" s="293" t="s">
        <v>240</v>
      </c>
      <c r="C151" s="294"/>
      <c r="D151" s="294"/>
      <c r="E151" s="295"/>
      <c r="F151" s="73">
        <f>SUM(F149:F150)</f>
        <v>2865.75</v>
      </c>
      <c r="H151" s="5"/>
    </row>
    <row r="152" spans="2:8" ht="15" customHeight="1">
      <c r="B152" s="472" t="s">
        <v>264</v>
      </c>
      <c r="C152" s="472"/>
      <c r="D152" s="472"/>
      <c r="E152" s="472"/>
      <c r="F152" s="110">
        <f>F151*E16</f>
        <v>5731.5</v>
      </c>
      <c r="H152" s="5"/>
    </row>
    <row r="153" spans="2:8" ht="15" customHeight="1">
      <c r="H153" s="5"/>
    </row>
    <row r="154" spans="2:8" ht="26.25" customHeight="1">
      <c r="B154" s="470" t="s">
        <v>151</v>
      </c>
      <c r="C154" s="470"/>
      <c r="D154" s="111" t="s">
        <v>152</v>
      </c>
      <c r="E154" s="470" t="s">
        <v>251</v>
      </c>
      <c r="F154" s="470"/>
      <c r="G154" s="112"/>
      <c r="H154" s="5"/>
    </row>
    <row r="155" spans="2:8" ht="31.5" customHeight="1">
      <c r="B155" s="470" t="s">
        <v>253</v>
      </c>
      <c r="C155" s="470"/>
      <c r="D155" s="113">
        <v>60</v>
      </c>
      <c r="E155" s="471">
        <f>F152*D155</f>
        <v>343890</v>
      </c>
      <c r="F155" s="471"/>
      <c r="H155" s="5"/>
    </row>
    <row r="156" spans="2:8" ht="35.25" customHeight="1">
      <c r="B156" s="470" t="s">
        <v>263</v>
      </c>
      <c r="C156" s="470"/>
      <c r="D156" s="113">
        <v>12</v>
      </c>
      <c r="E156" s="471">
        <f>F152*D156</f>
        <v>68778</v>
      </c>
      <c r="F156" s="471"/>
      <c r="H156" s="5"/>
    </row>
  </sheetData>
  <mergeCells count="151">
    <mergeCell ref="B156:C156"/>
    <mergeCell ref="E156:F156"/>
    <mergeCell ref="B152:E152"/>
    <mergeCell ref="C150:E150"/>
    <mergeCell ref="B151:E151"/>
    <mergeCell ref="B154:C154"/>
    <mergeCell ref="E154:F154"/>
    <mergeCell ref="B155:C155"/>
    <mergeCell ref="E155:F155"/>
    <mergeCell ref="B144:E144"/>
    <mergeCell ref="C145:E145"/>
    <mergeCell ref="C146:E146"/>
    <mergeCell ref="C147:E147"/>
    <mergeCell ref="C148:E148"/>
    <mergeCell ref="B149:E149"/>
    <mergeCell ref="B137:D137"/>
    <mergeCell ref="B138:D138"/>
    <mergeCell ref="C139:F139"/>
    <mergeCell ref="C140:F140"/>
    <mergeCell ref="C141:F141"/>
    <mergeCell ref="B143:F143"/>
    <mergeCell ref="C128:D128"/>
    <mergeCell ref="C129:D129"/>
    <mergeCell ref="B131:D131"/>
    <mergeCell ref="B132:B136"/>
    <mergeCell ref="C132:F132"/>
    <mergeCell ref="C133:C134"/>
    <mergeCell ref="C122:D122"/>
    <mergeCell ref="C123:D123"/>
    <mergeCell ref="C124:D124"/>
    <mergeCell ref="B125:D125"/>
    <mergeCell ref="B127:C127"/>
    <mergeCell ref="D127:F127"/>
    <mergeCell ref="B117:C117"/>
    <mergeCell ref="D117:F117"/>
    <mergeCell ref="C118:D118"/>
    <mergeCell ref="C119:D119"/>
    <mergeCell ref="C120:D120"/>
    <mergeCell ref="C121:D121"/>
    <mergeCell ref="C110:D110"/>
    <mergeCell ref="C111:D111"/>
    <mergeCell ref="C112:D112"/>
    <mergeCell ref="B113:D113"/>
    <mergeCell ref="C114:D114"/>
    <mergeCell ref="B115:D115"/>
    <mergeCell ref="B105:C105"/>
    <mergeCell ref="D105:F105"/>
    <mergeCell ref="C106:D106"/>
    <mergeCell ref="C107:D107"/>
    <mergeCell ref="C108:D108"/>
    <mergeCell ref="C109:D109"/>
    <mergeCell ref="C98:D98"/>
    <mergeCell ref="C99:D99"/>
    <mergeCell ref="C100:D100"/>
    <mergeCell ref="B101:D101"/>
    <mergeCell ref="C102:F102"/>
    <mergeCell ref="C103:F103"/>
    <mergeCell ref="B93:C93"/>
    <mergeCell ref="D93:F93"/>
    <mergeCell ref="C94:D94"/>
    <mergeCell ref="C95:D95"/>
    <mergeCell ref="C96:D96"/>
    <mergeCell ref="C97:D97"/>
    <mergeCell ref="B87:C87"/>
    <mergeCell ref="D87:F87"/>
    <mergeCell ref="C88:D88"/>
    <mergeCell ref="C89:D89"/>
    <mergeCell ref="C90:D90"/>
    <mergeCell ref="B91:D91"/>
    <mergeCell ref="C80:D80"/>
    <mergeCell ref="C81:D81"/>
    <mergeCell ref="C82:D82"/>
    <mergeCell ref="B83:D83"/>
    <mergeCell ref="C84:D84"/>
    <mergeCell ref="B85:D85"/>
    <mergeCell ref="C73:D73"/>
    <mergeCell ref="C74:D74"/>
    <mergeCell ref="B75:D75"/>
    <mergeCell ref="C76:F76"/>
    <mergeCell ref="C77:F77"/>
    <mergeCell ref="B79:C79"/>
    <mergeCell ref="D79:F79"/>
    <mergeCell ref="C67:D67"/>
    <mergeCell ref="C68:D68"/>
    <mergeCell ref="C69:D69"/>
    <mergeCell ref="C70:D70"/>
    <mergeCell ref="C71:D71"/>
    <mergeCell ref="C72:D72"/>
    <mergeCell ref="C62:F62"/>
    <mergeCell ref="B64:C64"/>
    <mergeCell ref="D64:F64"/>
    <mergeCell ref="B65:C65"/>
    <mergeCell ref="D65:F65"/>
    <mergeCell ref="C66:D66"/>
    <mergeCell ref="C56:E56"/>
    <mergeCell ref="C57:E57"/>
    <mergeCell ref="C58:E58"/>
    <mergeCell ref="C59:E59"/>
    <mergeCell ref="C60:E60"/>
    <mergeCell ref="B61:E61"/>
    <mergeCell ref="B48:E48"/>
    <mergeCell ref="C49:F49"/>
    <mergeCell ref="B50:B53"/>
    <mergeCell ref="C50:F53"/>
    <mergeCell ref="B55:C55"/>
    <mergeCell ref="D55:F55"/>
    <mergeCell ref="C41:E41"/>
    <mergeCell ref="C42:E42"/>
    <mergeCell ref="C43:E43"/>
    <mergeCell ref="C44:E44"/>
    <mergeCell ref="C45:E45"/>
    <mergeCell ref="C47:E47"/>
    <mergeCell ref="C28:E28"/>
    <mergeCell ref="C36:D36"/>
    <mergeCell ref="B37:D37"/>
    <mergeCell ref="B39:C39"/>
    <mergeCell ref="D39:F39"/>
    <mergeCell ref="C40:E40"/>
    <mergeCell ref="C46:E46"/>
    <mergeCell ref="C22:E22"/>
    <mergeCell ref="C23:E23"/>
    <mergeCell ref="C24:E24"/>
    <mergeCell ref="C25:E25"/>
    <mergeCell ref="C26:F26"/>
    <mergeCell ref="B27:C27"/>
    <mergeCell ref="D27:F27"/>
    <mergeCell ref="B16:C16"/>
    <mergeCell ref="E16:F16"/>
    <mergeCell ref="B18:F18"/>
    <mergeCell ref="B19:F19"/>
    <mergeCell ref="B20:F20"/>
    <mergeCell ref="B21:F21"/>
    <mergeCell ref="B14:F14"/>
    <mergeCell ref="B15:C15"/>
    <mergeCell ref="E15:F15"/>
    <mergeCell ref="B8:C8"/>
    <mergeCell ref="E8:F8"/>
    <mergeCell ref="B9:F9"/>
    <mergeCell ref="C10:D10"/>
    <mergeCell ref="E10:F10"/>
    <mergeCell ref="C11:D11"/>
    <mergeCell ref="E11:F11"/>
    <mergeCell ref="E2:F2"/>
    <mergeCell ref="B3:F3"/>
    <mergeCell ref="B4:F4"/>
    <mergeCell ref="E5:F5"/>
    <mergeCell ref="E6:F6"/>
    <mergeCell ref="B7:F7"/>
    <mergeCell ref="E12:F12"/>
    <mergeCell ref="C13:D13"/>
    <mergeCell ref="E13:F13"/>
  </mergeCells>
  <pageMargins left="0.511811024" right="0.511811024" top="0.78740157499999996" bottom="0.78740157499999996" header="0.31496062000000002" footer="0.31496062000000002"/>
  <pageSetup paperSize="9" scale="52" orientation="portrait" r:id="rId1"/>
  <rowBreaks count="1" manualBreakCount="1">
    <brk id="91" max="16383" man="1"/>
  </rowBreaks>
  <colBreaks count="1" manualBreakCount="1">
    <brk id="7" max="1048575" man="1"/>
  </colBreaks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500-000000000000}">
          <x14:formula1>
            <xm:f>'#listas#'!$E$1:$E$22</xm:f>
          </x14:formula1>
          <xm:sqref>C2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B1:H155"/>
  <sheetViews>
    <sheetView showGridLines="0" view="pageBreakPreview" topLeftCell="A58" zoomScaleNormal="115" zoomScaleSheetLayoutView="100" workbookViewId="0">
      <selection activeCell="C49" sqref="C49:F52"/>
    </sheetView>
  </sheetViews>
  <sheetFormatPr defaultColWidth="9.140625" defaultRowHeight="15" customHeight="1"/>
  <cols>
    <col min="1" max="1" width="4.42578125" style="5" customWidth="1"/>
    <col min="2" max="2" width="12.85546875" style="44" customWidth="1"/>
    <col min="3" max="3" width="43.42578125" style="44" customWidth="1"/>
    <col min="4" max="4" width="18.85546875" style="44" bestFit="1" customWidth="1"/>
    <col min="5" max="5" width="10.140625" style="85" bestFit="1" customWidth="1"/>
    <col min="6" max="6" width="11.7109375" style="45" customWidth="1"/>
    <col min="7" max="7" width="3.28515625" style="5" customWidth="1"/>
    <col min="8" max="8" width="12.140625" style="52" customWidth="1"/>
    <col min="9" max="16384" width="9.140625" style="5"/>
  </cols>
  <sheetData>
    <row r="1" spans="2:8" ht="15" customHeight="1">
      <c r="H1" s="47"/>
    </row>
    <row r="2" spans="2:8" s="49" customFormat="1" ht="15" customHeight="1">
      <c r="B2" s="8" t="s">
        <v>55</v>
      </c>
      <c r="C2" s="50" t="s">
        <v>21</v>
      </c>
      <c r="D2" s="8" t="s">
        <v>59</v>
      </c>
      <c r="E2" s="462"/>
      <c r="F2" s="462"/>
      <c r="H2" s="51"/>
    </row>
    <row r="3" spans="2:8" ht="21">
      <c r="B3" s="466" t="s">
        <v>290</v>
      </c>
      <c r="C3" s="466"/>
      <c r="D3" s="466"/>
      <c r="E3" s="466"/>
      <c r="F3" s="466"/>
    </row>
    <row r="4" spans="2:8" ht="15" customHeight="1">
      <c r="B4" s="362" t="s">
        <v>60</v>
      </c>
      <c r="C4" s="362"/>
      <c r="D4" s="362"/>
      <c r="E4" s="362"/>
      <c r="F4" s="362"/>
    </row>
    <row r="5" spans="2:8" ht="15" customHeight="1">
      <c r="B5" s="34" t="s">
        <v>62</v>
      </c>
      <c r="C5" s="30"/>
      <c r="D5" s="103" t="s">
        <v>63</v>
      </c>
      <c r="E5" s="468"/>
      <c r="F5" s="468"/>
    </row>
    <row r="6" spans="2:8" ht="15" customHeight="1">
      <c r="B6" s="34" t="s">
        <v>65</v>
      </c>
      <c r="C6" s="31"/>
      <c r="D6" s="34" t="s">
        <v>66</v>
      </c>
      <c r="E6" s="468"/>
      <c r="F6" s="468"/>
    </row>
    <row r="7" spans="2:8" ht="15" customHeight="1">
      <c r="B7" s="362" t="s">
        <v>67</v>
      </c>
      <c r="C7" s="362"/>
      <c r="D7" s="362"/>
      <c r="E7" s="362"/>
      <c r="F7" s="362"/>
    </row>
    <row r="8" spans="2:8" ht="15" customHeight="1">
      <c r="B8" s="459" t="s">
        <v>69</v>
      </c>
      <c r="C8" s="460"/>
      <c r="D8" s="34" t="s">
        <v>70</v>
      </c>
      <c r="E8" s="354"/>
      <c r="F8" s="355"/>
    </row>
    <row r="9" spans="2:8" ht="15" customHeight="1">
      <c r="B9" s="362" t="s">
        <v>75</v>
      </c>
      <c r="C9" s="362"/>
      <c r="D9" s="362"/>
      <c r="E9" s="362"/>
      <c r="F9" s="362"/>
    </row>
    <row r="10" spans="2:8" ht="15" customHeight="1">
      <c r="B10" s="34" t="s">
        <v>78</v>
      </c>
      <c r="C10" s="290" t="s">
        <v>79</v>
      </c>
      <c r="D10" s="291"/>
      <c r="E10" s="461"/>
      <c r="F10" s="461"/>
    </row>
    <row r="11" spans="2:8" ht="15" customHeight="1">
      <c r="B11" s="34" t="s">
        <v>83</v>
      </c>
      <c r="C11" s="290" t="s">
        <v>84</v>
      </c>
      <c r="D11" s="291"/>
      <c r="E11" s="300" t="s">
        <v>281</v>
      </c>
      <c r="F11" s="302"/>
    </row>
    <row r="12" spans="2:8" ht="15" customHeight="1">
      <c r="B12" s="34" t="s">
        <v>86</v>
      </c>
      <c r="C12" s="53" t="s">
        <v>87</v>
      </c>
      <c r="D12" s="54"/>
      <c r="E12" s="300" t="str">
        <f>JARDINEIRO!E12</f>
        <v>RN000112/2018 SINDLIMP</v>
      </c>
      <c r="F12" s="302"/>
    </row>
    <row r="13" spans="2:8" ht="15" customHeight="1">
      <c r="B13" s="34" t="s">
        <v>88</v>
      </c>
      <c r="C13" s="322" t="s">
        <v>89</v>
      </c>
      <c r="D13" s="328"/>
      <c r="E13" s="300">
        <v>12</v>
      </c>
      <c r="F13" s="302"/>
    </row>
    <row r="14" spans="2:8" ht="15" customHeight="1">
      <c r="B14" s="362" t="s">
        <v>90</v>
      </c>
      <c r="C14" s="362"/>
      <c r="D14" s="362"/>
      <c r="E14" s="362"/>
      <c r="F14" s="362"/>
    </row>
    <row r="15" spans="2:8" ht="15" customHeight="1">
      <c r="B15" s="451" t="s">
        <v>91</v>
      </c>
      <c r="C15" s="451"/>
      <c r="D15" s="32" t="s">
        <v>92</v>
      </c>
      <c r="E15" s="452" t="s">
        <v>243</v>
      </c>
      <c r="F15" s="453"/>
    </row>
    <row r="16" spans="2:8" ht="15" customHeight="1">
      <c r="B16" s="469" t="s">
        <v>265</v>
      </c>
      <c r="C16" s="469"/>
      <c r="D16" s="9" t="s">
        <v>95</v>
      </c>
      <c r="E16" s="456">
        <v>1</v>
      </c>
      <c r="F16" s="456"/>
      <c r="H16" s="5"/>
    </row>
    <row r="17" spans="2:8" ht="15" customHeight="1">
      <c r="H17" s="5"/>
    </row>
    <row r="18" spans="2:8" ht="12.75" customHeight="1">
      <c r="B18" s="450"/>
      <c r="C18" s="450"/>
      <c r="D18" s="450"/>
      <c r="E18" s="450"/>
      <c r="F18" s="450"/>
      <c r="H18" s="5"/>
    </row>
    <row r="19" spans="2:8" ht="15" customHeight="1">
      <c r="B19" s="362" t="s">
        <v>71</v>
      </c>
      <c r="C19" s="362"/>
      <c r="D19" s="362"/>
      <c r="E19" s="362"/>
      <c r="F19" s="362"/>
      <c r="H19" s="5"/>
    </row>
    <row r="20" spans="2:8" ht="15" customHeight="1">
      <c r="B20" s="362" t="s">
        <v>96</v>
      </c>
      <c r="C20" s="362"/>
      <c r="D20" s="362"/>
      <c r="E20" s="362"/>
      <c r="F20" s="362"/>
      <c r="H20" s="5"/>
    </row>
    <row r="21" spans="2:8" ht="15" customHeight="1">
      <c r="B21" s="437" t="s">
        <v>98</v>
      </c>
      <c r="C21" s="437"/>
      <c r="D21" s="437"/>
      <c r="E21" s="437"/>
      <c r="F21" s="437"/>
      <c r="H21" s="5"/>
    </row>
    <row r="22" spans="2:8" ht="15" customHeight="1">
      <c r="B22" s="34">
        <v>1</v>
      </c>
      <c r="C22" s="449" t="s">
        <v>99</v>
      </c>
      <c r="D22" s="449"/>
      <c r="E22" s="449"/>
      <c r="F22" s="56"/>
      <c r="H22" s="5"/>
    </row>
    <row r="23" spans="2:8" ht="15" customHeight="1">
      <c r="B23" s="34">
        <v>2</v>
      </c>
      <c r="C23" s="437" t="s">
        <v>100</v>
      </c>
      <c r="D23" s="437"/>
      <c r="E23" s="437"/>
      <c r="F23" s="57">
        <v>988.8</v>
      </c>
      <c r="H23" s="5"/>
    </row>
    <row r="24" spans="2:8" ht="15" customHeight="1">
      <c r="B24" s="34">
        <v>3</v>
      </c>
      <c r="C24" s="437" t="s">
        <v>101</v>
      </c>
      <c r="D24" s="437"/>
      <c r="E24" s="437"/>
      <c r="F24" s="56"/>
      <c r="H24" s="5"/>
    </row>
    <row r="25" spans="2:8" ht="15" customHeight="1">
      <c r="B25" s="34">
        <v>4</v>
      </c>
      <c r="C25" s="437" t="s">
        <v>102</v>
      </c>
      <c r="D25" s="437"/>
      <c r="E25" s="437"/>
      <c r="F25" s="58">
        <f>JARDINEIRO!F25</f>
        <v>43101</v>
      </c>
      <c r="H25" s="5"/>
    </row>
    <row r="26" spans="2:8" ht="15" customHeight="1">
      <c r="B26" s="37" t="s">
        <v>103</v>
      </c>
      <c r="C26" s="438" t="s">
        <v>104</v>
      </c>
      <c r="D26" s="438"/>
      <c r="E26" s="438"/>
      <c r="F26" s="438"/>
      <c r="H26" s="5"/>
    </row>
    <row r="27" spans="2:8" ht="15" customHeight="1">
      <c r="B27" s="362" t="s">
        <v>105</v>
      </c>
      <c r="C27" s="362"/>
      <c r="D27" s="362" t="s">
        <v>106</v>
      </c>
      <c r="E27" s="362"/>
      <c r="F27" s="362"/>
      <c r="H27" s="5"/>
    </row>
    <row r="28" spans="2:8" ht="15" customHeight="1">
      <c r="B28" s="101">
        <v>1</v>
      </c>
      <c r="C28" s="362" t="s">
        <v>107</v>
      </c>
      <c r="D28" s="362"/>
      <c r="E28" s="362"/>
      <c r="F28" s="68" t="s">
        <v>108</v>
      </c>
      <c r="H28" s="5"/>
    </row>
    <row r="29" spans="2:8" ht="15" customHeight="1">
      <c r="B29" s="34" t="s">
        <v>78</v>
      </c>
      <c r="C29" s="59" t="s">
        <v>109</v>
      </c>
      <c r="D29" s="60"/>
      <c r="E29" s="80"/>
      <c r="F29" s="61">
        <f>F23</f>
        <v>988.8</v>
      </c>
      <c r="H29" s="5"/>
    </row>
    <row r="30" spans="2:8" ht="15" customHeight="1">
      <c r="B30" s="34" t="s">
        <v>83</v>
      </c>
      <c r="C30" s="59" t="s">
        <v>110</v>
      </c>
      <c r="D30" s="60"/>
      <c r="E30" s="80"/>
      <c r="F30" s="61">
        <f>$F$29*E30</f>
        <v>0</v>
      </c>
      <c r="H30" s="5"/>
    </row>
    <row r="31" spans="2:8" ht="15" customHeight="1">
      <c r="B31" s="34" t="s">
        <v>86</v>
      </c>
      <c r="C31" s="59" t="s">
        <v>111</v>
      </c>
      <c r="D31" s="60"/>
      <c r="E31" s="81"/>
      <c r="F31" s="61">
        <f t="shared" ref="F31:F36" si="0">$F$29*E31</f>
        <v>0</v>
      </c>
      <c r="H31" s="5"/>
    </row>
    <row r="32" spans="2:8" ht="15" customHeight="1">
      <c r="B32" s="34" t="s">
        <v>88</v>
      </c>
      <c r="C32" s="59" t="s">
        <v>112</v>
      </c>
      <c r="D32" s="60"/>
      <c r="E32" s="80"/>
      <c r="F32" s="61">
        <f t="shared" si="0"/>
        <v>0</v>
      </c>
      <c r="H32" s="5"/>
    </row>
    <row r="33" spans="2:8" ht="15" customHeight="1">
      <c r="B33" s="34" t="s">
        <v>113</v>
      </c>
      <c r="C33" s="59" t="s">
        <v>114</v>
      </c>
      <c r="D33" s="60"/>
      <c r="E33" s="80"/>
      <c r="F33" s="61">
        <f t="shared" si="0"/>
        <v>0</v>
      </c>
      <c r="H33" s="5"/>
    </row>
    <row r="34" spans="2:8" ht="15" customHeight="1">
      <c r="B34" s="34" t="s">
        <v>116</v>
      </c>
      <c r="C34" s="59" t="s">
        <v>117</v>
      </c>
      <c r="D34" s="60"/>
      <c r="E34" s="80"/>
      <c r="F34" s="61">
        <f t="shared" si="0"/>
        <v>0</v>
      </c>
      <c r="H34" s="5"/>
    </row>
    <row r="35" spans="2:8" ht="15" customHeight="1">
      <c r="B35" s="34" t="s">
        <v>122</v>
      </c>
      <c r="C35" s="59" t="s">
        <v>123</v>
      </c>
      <c r="D35" s="60"/>
      <c r="E35" s="80"/>
      <c r="F35" s="61">
        <f t="shared" si="0"/>
        <v>0</v>
      </c>
      <c r="H35" s="5"/>
    </row>
    <row r="36" spans="2:8" ht="15" customHeight="1">
      <c r="B36" s="102" t="s">
        <v>125</v>
      </c>
      <c r="C36" s="290" t="s">
        <v>126</v>
      </c>
      <c r="D36" s="292"/>
      <c r="E36" s="81"/>
      <c r="F36" s="61">
        <f t="shared" si="0"/>
        <v>0</v>
      </c>
      <c r="H36" s="5"/>
    </row>
    <row r="37" spans="2:8" ht="15" customHeight="1">
      <c r="B37" s="293" t="s">
        <v>128</v>
      </c>
      <c r="C37" s="294"/>
      <c r="D37" s="295"/>
      <c r="E37" s="86">
        <f>SUM(E30:E36)</f>
        <v>0</v>
      </c>
      <c r="F37" s="69">
        <f>SUM(F29:F36)</f>
        <v>988.8</v>
      </c>
      <c r="H37" s="5"/>
    </row>
    <row r="38" spans="2:8" ht="15" customHeight="1">
      <c r="H38" s="5"/>
    </row>
    <row r="39" spans="2:8" ht="15" customHeight="1">
      <c r="B39" s="362" t="s">
        <v>130</v>
      </c>
      <c r="C39" s="362"/>
      <c r="D39" s="362" t="s">
        <v>131</v>
      </c>
      <c r="E39" s="362"/>
      <c r="F39" s="362"/>
      <c r="H39" s="5"/>
    </row>
    <row r="40" spans="2:8" ht="15" customHeight="1">
      <c r="B40" s="101">
        <v>2</v>
      </c>
      <c r="C40" s="362" t="s">
        <v>132</v>
      </c>
      <c r="D40" s="362"/>
      <c r="E40" s="362"/>
      <c r="F40" s="68" t="s">
        <v>108</v>
      </c>
      <c r="H40" s="5"/>
    </row>
    <row r="41" spans="2:8" ht="15" customHeight="1">
      <c r="B41" s="102" t="s">
        <v>78</v>
      </c>
      <c r="C41" s="334" t="s">
        <v>133</v>
      </c>
      <c r="D41" s="335"/>
      <c r="E41" s="336"/>
      <c r="F41" s="120">
        <f>2*2*26-(0.06*F29)</f>
        <v>44.67</v>
      </c>
      <c r="H41" s="5"/>
    </row>
    <row r="42" spans="2:8" ht="15" customHeight="1">
      <c r="B42" s="102" t="s">
        <v>83</v>
      </c>
      <c r="C42" s="473" t="s">
        <v>134</v>
      </c>
      <c r="D42" s="473"/>
      <c r="E42" s="473"/>
      <c r="F42" s="120">
        <f>JARDINEIRO!F42</f>
        <v>116.18</v>
      </c>
      <c r="H42" s="5"/>
    </row>
    <row r="43" spans="2:8" ht="15" customHeight="1">
      <c r="B43" s="34" t="s">
        <v>86</v>
      </c>
      <c r="C43" s="474" t="s">
        <v>135</v>
      </c>
      <c r="D43" s="474"/>
      <c r="E43" s="474"/>
      <c r="F43" s="120">
        <f>JARDINEIRO!F43</f>
        <v>90</v>
      </c>
      <c r="H43" s="5"/>
    </row>
    <row r="44" spans="2:8" ht="15" customHeight="1">
      <c r="B44" s="34" t="s">
        <v>88</v>
      </c>
      <c r="C44" s="382" t="s">
        <v>136</v>
      </c>
      <c r="D44" s="382"/>
      <c r="E44" s="382"/>
      <c r="F44" s="120">
        <f>JARDINEIRO!F44</f>
        <v>10</v>
      </c>
      <c r="H44" s="5"/>
    </row>
    <row r="45" spans="2:8" ht="15" customHeight="1">
      <c r="B45" s="34" t="s">
        <v>113</v>
      </c>
      <c r="C45" s="382" t="s">
        <v>138</v>
      </c>
      <c r="D45" s="382"/>
      <c r="E45" s="382"/>
      <c r="F45" s="120">
        <f>JARDINEIRO!F45</f>
        <v>9</v>
      </c>
      <c r="H45" s="5"/>
    </row>
    <row r="46" spans="2:8" ht="15" customHeight="1">
      <c r="B46" s="102" t="s">
        <v>116</v>
      </c>
      <c r="C46" s="474" t="s">
        <v>258</v>
      </c>
      <c r="D46" s="474"/>
      <c r="E46" s="474"/>
      <c r="F46" s="120">
        <f>JARDINEIRO!F46</f>
        <v>0</v>
      </c>
      <c r="H46" s="5"/>
    </row>
    <row r="47" spans="2:8" ht="15" customHeight="1">
      <c r="B47" s="362" t="s">
        <v>143</v>
      </c>
      <c r="C47" s="362"/>
      <c r="D47" s="362"/>
      <c r="E47" s="362"/>
      <c r="F47" s="69">
        <f>SUM(F41:F46)</f>
        <v>269.85000000000002</v>
      </c>
      <c r="H47" s="5"/>
    </row>
    <row r="48" spans="2:8" ht="27.75" customHeight="1">
      <c r="B48" s="34" t="s">
        <v>145</v>
      </c>
      <c r="C48" s="309" t="s">
        <v>146</v>
      </c>
      <c r="D48" s="310"/>
      <c r="E48" s="310"/>
      <c r="F48" s="311"/>
      <c r="H48" s="5"/>
    </row>
    <row r="49" spans="2:8" ht="35.25" customHeight="1">
      <c r="B49" s="317" t="s">
        <v>148</v>
      </c>
      <c r="C49" s="373" t="s">
        <v>149</v>
      </c>
      <c r="D49" s="374"/>
      <c r="E49" s="374"/>
      <c r="F49" s="375"/>
      <c r="H49" s="5"/>
    </row>
    <row r="50" spans="2:8" ht="11.25" customHeight="1">
      <c r="B50" s="318"/>
      <c r="C50" s="376"/>
      <c r="D50" s="377"/>
      <c r="E50" s="377"/>
      <c r="F50" s="378"/>
      <c r="H50" s="5"/>
    </row>
    <row r="51" spans="2:8" ht="21.75" customHeight="1">
      <c r="B51" s="318"/>
      <c r="C51" s="376"/>
      <c r="D51" s="377"/>
      <c r="E51" s="377"/>
      <c r="F51" s="378"/>
      <c r="H51" s="5"/>
    </row>
    <row r="52" spans="2:8" ht="20.25" customHeight="1">
      <c r="B52" s="319"/>
      <c r="C52" s="379"/>
      <c r="D52" s="380"/>
      <c r="E52" s="380"/>
      <c r="F52" s="381"/>
      <c r="H52" s="5"/>
    </row>
    <row r="53" spans="2:8" ht="15" customHeight="1">
      <c r="H53" s="5"/>
    </row>
    <row r="54" spans="2:8" ht="15" customHeight="1">
      <c r="B54" s="293" t="s">
        <v>153</v>
      </c>
      <c r="C54" s="295"/>
      <c r="D54" s="293" t="s">
        <v>154</v>
      </c>
      <c r="E54" s="294"/>
      <c r="F54" s="295"/>
      <c r="H54" s="5"/>
    </row>
    <row r="55" spans="2:8" ht="15" customHeight="1">
      <c r="B55" s="101">
        <v>3</v>
      </c>
      <c r="C55" s="293" t="s">
        <v>155</v>
      </c>
      <c r="D55" s="294"/>
      <c r="E55" s="295"/>
      <c r="F55" s="68" t="s">
        <v>108</v>
      </c>
      <c r="H55" s="5"/>
    </row>
    <row r="56" spans="2:8" ht="15" customHeight="1">
      <c r="B56" s="34" t="s">
        <v>78</v>
      </c>
      <c r="C56" s="290" t="s">
        <v>156</v>
      </c>
      <c r="D56" s="291"/>
      <c r="E56" s="292"/>
      <c r="F56" s="116">
        <v>12</v>
      </c>
      <c r="H56" s="5"/>
    </row>
    <row r="57" spans="2:8" ht="15" customHeight="1">
      <c r="B57" s="34" t="s">
        <v>83</v>
      </c>
      <c r="C57" s="290" t="s">
        <v>157</v>
      </c>
      <c r="D57" s="291"/>
      <c r="E57" s="292"/>
      <c r="F57" s="116">
        <v>0</v>
      </c>
      <c r="H57" s="5"/>
    </row>
    <row r="58" spans="2:8" ht="15" customHeight="1">
      <c r="B58" s="34" t="s">
        <v>86</v>
      </c>
      <c r="C58" s="290" t="s">
        <v>158</v>
      </c>
      <c r="D58" s="291"/>
      <c r="E58" s="292"/>
      <c r="F58" s="35">
        <v>0</v>
      </c>
      <c r="H58" s="5"/>
    </row>
    <row r="59" spans="2:8" ht="15" customHeight="1">
      <c r="B59" s="102" t="s">
        <v>88</v>
      </c>
      <c r="C59" s="322" t="s">
        <v>259</v>
      </c>
      <c r="D59" s="328"/>
      <c r="E59" s="323"/>
      <c r="F59" s="36">
        <f>F58*-0.8</f>
        <v>0</v>
      </c>
      <c r="H59" s="5"/>
    </row>
    <row r="60" spans="2:8" ht="15" customHeight="1">
      <c r="B60" s="293" t="s">
        <v>159</v>
      </c>
      <c r="C60" s="294"/>
      <c r="D60" s="294"/>
      <c r="E60" s="295"/>
      <c r="F60" s="69">
        <f>SUM(F56:F59)</f>
        <v>12</v>
      </c>
      <c r="H60" s="5"/>
    </row>
    <row r="61" spans="2:8" ht="15" customHeight="1">
      <c r="B61" s="37" t="s">
        <v>103</v>
      </c>
      <c r="C61" s="306" t="s">
        <v>160</v>
      </c>
      <c r="D61" s="307"/>
      <c r="E61" s="307"/>
      <c r="F61" s="308"/>
      <c r="H61" s="5"/>
    </row>
    <row r="62" spans="2:8" ht="15" customHeight="1">
      <c r="H62" s="5"/>
    </row>
    <row r="63" spans="2:8" ht="15" customHeight="1">
      <c r="B63" s="293" t="s">
        <v>161</v>
      </c>
      <c r="C63" s="295"/>
      <c r="D63" s="293" t="s">
        <v>162</v>
      </c>
      <c r="E63" s="294"/>
      <c r="F63" s="295"/>
      <c r="H63" s="5"/>
    </row>
    <row r="64" spans="2:8" ht="15" customHeight="1">
      <c r="B64" s="293" t="s">
        <v>163</v>
      </c>
      <c r="C64" s="295"/>
      <c r="D64" s="293" t="s">
        <v>164</v>
      </c>
      <c r="E64" s="294"/>
      <c r="F64" s="295"/>
      <c r="H64" s="5"/>
    </row>
    <row r="65" spans="2:8" ht="15" customHeight="1">
      <c r="B65" s="101" t="s">
        <v>165</v>
      </c>
      <c r="C65" s="293" t="s">
        <v>164</v>
      </c>
      <c r="D65" s="295"/>
      <c r="E65" s="87" t="s">
        <v>166</v>
      </c>
      <c r="F65" s="68" t="s">
        <v>108</v>
      </c>
      <c r="H65" s="5"/>
    </row>
    <row r="66" spans="2:8" ht="15" customHeight="1">
      <c r="B66" s="34" t="s">
        <v>78</v>
      </c>
      <c r="C66" s="290" t="s">
        <v>167</v>
      </c>
      <c r="D66" s="292"/>
      <c r="E66" s="80">
        <v>0.2</v>
      </c>
      <c r="F66" s="38">
        <f>E66*$F$37</f>
        <v>197.76</v>
      </c>
      <c r="H66" s="5"/>
    </row>
    <row r="67" spans="2:8" ht="15" customHeight="1">
      <c r="B67" s="34" t="s">
        <v>83</v>
      </c>
      <c r="C67" s="290" t="s">
        <v>168</v>
      </c>
      <c r="D67" s="292"/>
      <c r="E67" s="80">
        <v>1.4999999999999999E-2</v>
      </c>
      <c r="F67" s="38">
        <f t="shared" ref="F67:F73" si="1">E67*$F$37</f>
        <v>14.83</v>
      </c>
      <c r="H67" s="5"/>
    </row>
    <row r="68" spans="2:8" ht="15" customHeight="1">
      <c r="B68" s="34" t="s">
        <v>86</v>
      </c>
      <c r="C68" s="290" t="s">
        <v>169</v>
      </c>
      <c r="D68" s="292"/>
      <c r="E68" s="80">
        <v>0.01</v>
      </c>
      <c r="F68" s="38">
        <f t="shared" si="1"/>
        <v>9.89</v>
      </c>
      <c r="H68" s="5"/>
    </row>
    <row r="69" spans="2:8" ht="15" customHeight="1">
      <c r="B69" s="34" t="s">
        <v>88</v>
      </c>
      <c r="C69" s="290" t="s">
        <v>170</v>
      </c>
      <c r="D69" s="292"/>
      <c r="E69" s="80">
        <v>2E-3</v>
      </c>
      <c r="F69" s="38">
        <f t="shared" si="1"/>
        <v>1.98</v>
      </c>
      <c r="H69" s="5"/>
    </row>
    <row r="70" spans="2:8" ht="15" customHeight="1">
      <c r="B70" s="34" t="s">
        <v>113</v>
      </c>
      <c r="C70" s="290" t="s">
        <v>171</v>
      </c>
      <c r="D70" s="292"/>
      <c r="E70" s="80">
        <v>2.5000000000000001E-2</v>
      </c>
      <c r="F70" s="38">
        <f t="shared" si="1"/>
        <v>24.72</v>
      </c>
      <c r="H70" s="5"/>
    </row>
    <row r="71" spans="2:8" ht="15" customHeight="1">
      <c r="B71" s="34" t="s">
        <v>116</v>
      </c>
      <c r="C71" s="290" t="s">
        <v>172</v>
      </c>
      <c r="D71" s="292"/>
      <c r="E71" s="80">
        <v>0.08</v>
      </c>
      <c r="F71" s="38">
        <f t="shared" si="1"/>
        <v>79.099999999999994</v>
      </c>
      <c r="H71" s="5"/>
    </row>
    <row r="72" spans="2:8" ht="15" customHeight="1">
      <c r="B72" s="34" t="s">
        <v>122</v>
      </c>
      <c r="C72" s="290" t="s">
        <v>261</v>
      </c>
      <c r="D72" s="292"/>
      <c r="E72" s="80">
        <v>2.3199999999999998E-2</v>
      </c>
      <c r="F72" s="38">
        <f t="shared" si="1"/>
        <v>22.94</v>
      </c>
      <c r="H72" s="5"/>
    </row>
    <row r="73" spans="2:8" ht="15" customHeight="1">
      <c r="B73" s="34" t="s">
        <v>125</v>
      </c>
      <c r="C73" s="290" t="s">
        <v>174</v>
      </c>
      <c r="D73" s="292"/>
      <c r="E73" s="80">
        <v>6.0000000000000001E-3</v>
      </c>
      <c r="F73" s="38">
        <f t="shared" si="1"/>
        <v>5.93</v>
      </c>
      <c r="H73" s="5"/>
    </row>
    <row r="74" spans="2:8" ht="15" customHeight="1">
      <c r="B74" s="293" t="s">
        <v>57</v>
      </c>
      <c r="C74" s="294"/>
      <c r="D74" s="295"/>
      <c r="E74" s="79">
        <f>SUM(E66:E73)</f>
        <v>0.36120000000000002</v>
      </c>
      <c r="F74" s="69">
        <f>SUM(F66:F73)</f>
        <v>357.15</v>
      </c>
      <c r="H74" s="5"/>
    </row>
    <row r="75" spans="2:8" ht="15" customHeight="1">
      <c r="B75" s="39" t="s">
        <v>145</v>
      </c>
      <c r="C75" s="309" t="s">
        <v>175</v>
      </c>
      <c r="D75" s="310"/>
      <c r="E75" s="310"/>
      <c r="F75" s="311"/>
      <c r="H75" s="5"/>
    </row>
    <row r="76" spans="2:8" ht="15" customHeight="1">
      <c r="B76" s="39" t="s">
        <v>148</v>
      </c>
      <c r="C76" s="331" t="s">
        <v>176</v>
      </c>
      <c r="D76" s="332"/>
      <c r="E76" s="332"/>
      <c r="F76" s="333"/>
      <c r="H76" s="5"/>
    </row>
    <row r="77" spans="2:8" ht="15" customHeight="1">
      <c r="H77" s="5"/>
    </row>
    <row r="78" spans="2:8" ht="15" customHeight="1">
      <c r="B78" s="293" t="s">
        <v>177</v>
      </c>
      <c r="C78" s="295"/>
      <c r="D78" s="293" t="s">
        <v>178</v>
      </c>
      <c r="E78" s="294"/>
      <c r="F78" s="295"/>
      <c r="H78" s="5"/>
    </row>
    <row r="79" spans="2:8" ht="15" customHeight="1">
      <c r="B79" s="101" t="s">
        <v>179</v>
      </c>
      <c r="C79" s="293" t="s">
        <v>180</v>
      </c>
      <c r="D79" s="295"/>
      <c r="E79" s="87" t="s">
        <v>166</v>
      </c>
      <c r="F79" s="68" t="s">
        <v>108</v>
      </c>
      <c r="H79" s="5"/>
    </row>
    <row r="80" spans="2:8" ht="15" customHeight="1">
      <c r="B80" s="34" t="s">
        <v>78</v>
      </c>
      <c r="C80" s="290" t="s">
        <v>181</v>
      </c>
      <c r="D80" s="292"/>
      <c r="E80" s="80">
        <v>8.3330000000000001E-2</v>
      </c>
      <c r="F80" s="38">
        <f t="shared" ref="F80:F81" si="2">E80*$F$37</f>
        <v>82.4</v>
      </c>
      <c r="H80" s="5"/>
    </row>
    <row r="81" spans="2:8" ht="15" customHeight="1">
      <c r="B81" s="64" t="s">
        <v>83</v>
      </c>
      <c r="C81" s="329" t="s">
        <v>182</v>
      </c>
      <c r="D81" s="330"/>
      <c r="E81" s="82">
        <v>2.7779999999999999E-2</v>
      </c>
      <c r="F81" s="38">
        <f t="shared" si="2"/>
        <v>27.47</v>
      </c>
      <c r="H81" s="5"/>
    </row>
    <row r="82" spans="2:8" ht="15" customHeight="1">
      <c r="B82" s="293" t="s">
        <v>183</v>
      </c>
      <c r="C82" s="294"/>
      <c r="D82" s="295"/>
      <c r="E82" s="83">
        <f>SUM(E80:E81)</f>
        <v>0.11111</v>
      </c>
      <c r="F82" s="70">
        <f>SUM(F80:F81)</f>
        <v>109.87</v>
      </c>
      <c r="H82" s="5"/>
    </row>
    <row r="83" spans="2:8" s="63" customFormat="1" ht="15" customHeight="1">
      <c r="B83" s="102" t="s">
        <v>86</v>
      </c>
      <c r="C83" s="322" t="s">
        <v>184</v>
      </c>
      <c r="D83" s="323"/>
      <c r="E83" s="88">
        <f>E74*E82</f>
        <v>4.0129999999999999E-2</v>
      </c>
      <c r="F83" s="94">
        <f>F82*E74</f>
        <v>39.69</v>
      </c>
    </row>
    <row r="84" spans="2:8" ht="15" customHeight="1">
      <c r="B84" s="293" t="s">
        <v>57</v>
      </c>
      <c r="C84" s="294"/>
      <c r="D84" s="295"/>
      <c r="E84" s="79">
        <f>SUM(E82:E83)</f>
        <v>0.15124000000000001</v>
      </c>
      <c r="F84" s="71">
        <f>SUM(F82:F83)</f>
        <v>149.56</v>
      </c>
      <c r="H84" s="5"/>
    </row>
    <row r="85" spans="2:8" ht="15" customHeight="1">
      <c r="H85" s="5"/>
    </row>
    <row r="86" spans="2:8" ht="15" customHeight="1">
      <c r="B86" s="293" t="s">
        <v>185</v>
      </c>
      <c r="C86" s="295"/>
      <c r="D86" s="293" t="s">
        <v>186</v>
      </c>
      <c r="E86" s="294"/>
      <c r="F86" s="295"/>
      <c r="H86" s="5"/>
    </row>
    <row r="87" spans="2:8" ht="15" customHeight="1">
      <c r="B87" s="101" t="s">
        <v>187</v>
      </c>
      <c r="C87" s="293" t="s">
        <v>186</v>
      </c>
      <c r="D87" s="295"/>
      <c r="E87" s="87" t="s">
        <v>166</v>
      </c>
      <c r="F87" s="68" t="s">
        <v>108</v>
      </c>
      <c r="H87" s="5"/>
    </row>
    <row r="88" spans="2:8" ht="15" customHeight="1">
      <c r="B88" s="34" t="s">
        <v>78</v>
      </c>
      <c r="C88" s="290" t="s">
        <v>186</v>
      </c>
      <c r="D88" s="292"/>
      <c r="E88" s="78">
        <v>2.8700000000000002E-3</v>
      </c>
      <c r="F88" s="38">
        <f t="shared" ref="F88" si="3">E88*$F$37</f>
        <v>2.84</v>
      </c>
      <c r="H88" s="5"/>
    </row>
    <row r="89" spans="2:8" ht="15" customHeight="1">
      <c r="B89" s="102" t="s">
        <v>83</v>
      </c>
      <c r="C89" s="322" t="s">
        <v>188</v>
      </c>
      <c r="D89" s="323"/>
      <c r="E89" s="88">
        <f>E74*E88</f>
        <v>1.0399999999999999E-3</v>
      </c>
      <c r="F89" s="94">
        <f>F88*E74</f>
        <v>1.03</v>
      </c>
      <c r="H89" s="5"/>
    </row>
    <row r="90" spans="2:8" ht="15" customHeight="1">
      <c r="B90" s="293" t="s">
        <v>57</v>
      </c>
      <c r="C90" s="294"/>
      <c r="D90" s="295"/>
      <c r="E90" s="89">
        <f>SUM(E88:E89)</f>
        <v>3.9100000000000003E-3</v>
      </c>
      <c r="F90" s="69">
        <f>SUM(F88:F89)</f>
        <v>3.87</v>
      </c>
      <c r="H90" s="5"/>
    </row>
    <row r="91" spans="2:8" ht="15" customHeight="1">
      <c r="H91" s="5"/>
    </row>
    <row r="92" spans="2:8" ht="15" customHeight="1">
      <c r="B92" s="293" t="s">
        <v>189</v>
      </c>
      <c r="C92" s="295"/>
      <c r="D92" s="293" t="s">
        <v>190</v>
      </c>
      <c r="E92" s="294"/>
      <c r="F92" s="295"/>
      <c r="H92" s="5"/>
    </row>
    <row r="93" spans="2:8" ht="15" customHeight="1">
      <c r="B93" s="101" t="s">
        <v>191</v>
      </c>
      <c r="C93" s="293" t="s">
        <v>190</v>
      </c>
      <c r="D93" s="295"/>
      <c r="E93" s="87" t="s">
        <v>166</v>
      </c>
      <c r="F93" s="68" t="s">
        <v>108</v>
      </c>
      <c r="H93" s="5"/>
    </row>
    <row r="94" spans="2:8" ht="15" customHeight="1">
      <c r="B94" s="34" t="s">
        <v>78</v>
      </c>
      <c r="C94" s="290" t="s">
        <v>192</v>
      </c>
      <c r="D94" s="292"/>
      <c r="E94" s="78">
        <v>4.1700000000000001E-3</v>
      </c>
      <c r="F94" s="38">
        <f t="shared" ref="F94" si="4">E94*$F$37</f>
        <v>4.12</v>
      </c>
      <c r="H94" s="5"/>
    </row>
    <row r="95" spans="2:8" ht="15" customHeight="1">
      <c r="B95" s="34" t="s">
        <v>83</v>
      </c>
      <c r="C95" s="326" t="s">
        <v>193</v>
      </c>
      <c r="D95" s="327"/>
      <c r="E95" s="78">
        <f>E94*E71</f>
        <v>3.3E-4</v>
      </c>
      <c r="F95" s="38">
        <f>F94*E71</f>
        <v>0.33</v>
      </c>
      <c r="H95" s="5"/>
    </row>
    <row r="96" spans="2:8" ht="15" customHeight="1">
      <c r="B96" s="34" t="s">
        <v>86</v>
      </c>
      <c r="C96" s="290" t="s">
        <v>194</v>
      </c>
      <c r="D96" s="292"/>
      <c r="E96" s="78">
        <v>3.2000000000000001E-2</v>
      </c>
      <c r="F96" s="38">
        <f t="shared" ref="F96:F97" si="5">E96*$F$37</f>
        <v>31.64</v>
      </c>
      <c r="H96" s="5"/>
    </row>
    <row r="97" spans="2:8" ht="15" customHeight="1">
      <c r="B97" s="34" t="s">
        <v>88</v>
      </c>
      <c r="C97" s="290" t="s">
        <v>195</v>
      </c>
      <c r="D97" s="292"/>
      <c r="E97" s="78">
        <v>1.9439999999999999E-2</v>
      </c>
      <c r="F97" s="38">
        <f t="shared" si="5"/>
        <v>19.22</v>
      </c>
      <c r="H97" s="5"/>
    </row>
    <row r="98" spans="2:8" ht="15" customHeight="1">
      <c r="B98" s="34" t="s">
        <v>113</v>
      </c>
      <c r="C98" s="326" t="s">
        <v>196</v>
      </c>
      <c r="D98" s="327"/>
      <c r="E98" s="78">
        <f>E97*E74</f>
        <v>7.0200000000000002E-3</v>
      </c>
      <c r="F98" s="94">
        <f>F97*E74</f>
        <v>6.94</v>
      </c>
      <c r="H98" s="5"/>
    </row>
    <row r="99" spans="2:8" ht="15" customHeight="1">
      <c r="B99" s="102" t="s">
        <v>88</v>
      </c>
      <c r="C99" s="290" t="s">
        <v>197</v>
      </c>
      <c r="D99" s="292"/>
      <c r="E99" s="78">
        <v>8.0000000000000002E-3</v>
      </c>
      <c r="F99" s="38">
        <f t="shared" ref="F99" si="6">E99*$F$37</f>
        <v>7.91</v>
      </c>
      <c r="H99" s="5"/>
    </row>
    <row r="100" spans="2:8" ht="15" customHeight="1">
      <c r="B100" s="293" t="s">
        <v>57</v>
      </c>
      <c r="C100" s="294"/>
      <c r="D100" s="295"/>
      <c r="E100" s="79">
        <f>SUM(E94:E99)</f>
        <v>7.0959999999999995E-2</v>
      </c>
      <c r="F100" s="69">
        <f>SUM(F94:F99)</f>
        <v>70.16</v>
      </c>
      <c r="H100" s="5"/>
    </row>
    <row r="101" spans="2:8" ht="27" customHeight="1">
      <c r="B101" s="32" t="s">
        <v>145</v>
      </c>
      <c r="C101" s="322" t="s">
        <v>198</v>
      </c>
      <c r="D101" s="328"/>
      <c r="E101" s="328"/>
      <c r="F101" s="323"/>
      <c r="H101" s="5"/>
    </row>
    <row r="102" spans="2:8" ht="24.75" customHeight="1">
      <c r="B102" s="32" t="s">
        <v>148</v>
      </c>
      <c r="C102" s="322" t="s">
        <v>199</v>
      </c>
      <c r="D102" s="328"/>
      <c r="E102" s="328"/>
      <c r="F102" s="323"/>
      <c r="H102" s="5"/>
    </row>
    <row r="103" spans="2:8" ht="15" customHeight="1">
      <c r="H103" s="5"/>
    </row>
    <row r="104" spans="2:8" ht="15" customHeight="1">
      <c r="B104" s="293" t="s">
        <v>200</v>
      </c>
      <c r="C104" s="295"/>
      <c r="D104" s="293" t="s">
        <v>201</v>
      </c>
      <c r="E104" s="294"/>
      <c r="F104" s="295"/>
      <c r="H104" s="5"/>
    </row>
    <row r="105" spans="2:8" ht="15" customHeight="1">
      <c r="B105" s="101" t="s">
        <v>202</v>
      </c>
      <c r="C105" s="324" t="s">
        <v>203</v>
      </c>
      <c r="D105" s="325"/>
      <c r="E105" s="87" t="s">
        <v>166</v>
      </c>
      <c r="F105" s="68" t="s">
        <v>108</v>
      </c>
      <c r="H105" s="5"/>
    </row>
    <row r="106" spans="2:8" ht="15" customHeight="1">
      <c r="B106" s="34" t="s">
        <v>78</v>
      </c>
      <c r="C106" s="290" t="s">
        <v>204</v>
      </c>
      <c r="D106" s="292"/>
      <c r="E106" s="80">
        <v>0.11111</v>
      </c>
      <c r="F106" s="38">
        <f t="shared" ref="F106:F111" si="7">E106*$F$37</f>
        <v>109.87</v>
      </c>
      <c r="H106" s="5"/>
    </row>
    <row r="107" spans="2:8" ht="15" customHeight="1">
      <c r="B107" s="34" t="s">
        <v>83</v>
      </c>
      <c r="C107" s="326" t="s">
        <v>205</v>
      </c>
      <c r="D107" s="327"/>
      <c r="E107" s="80">
        <v>1.389E-2</v>
      </c>
      <c r="F107" s="38">
        <f t="shared" si="7"/>
        <v>13.73</v>
      </c>
      <c r="H107" s="5"/>
    </row>
    <row r="108" spans="2:8" ht="15" customHeight="1">
      <c r="B108" s="34" t="s">
        <v>86</v>
      </c>
      <c r="C108" s="290" t="s">
        <v>206</v>
      </c>
      <c r="D108" s="292"/>
      <c r="E108" s="80">
        <v>2.1000000000000001E-4</v>
      </c>
      <c r="F108" s="38">
        <f t="shared" si="7"/>
        <v>0.21</v>
      </c>
      <c r="H108" s="5"/>
    </row>
    <row r="109" spans="2:8" ht="15" customHeight="1">
      <c r="B109" s="34" t="s">
        <v>88</v>
      </c>
      <c r="C109" s="290" t="s">
        <v>207</v>
      </c>
      <c r="D109" s="292"/>
      <c r="E109" s="80">
        <v>2.7799999999999999E-3</v>
      </c>
      <c r="F109" s="38">
        <f t="shared" si="7"/>
        <v>2.75</v>
      </c>
      <c r="H109" s="5"/>
    </row>
    <row r="110" spans="2:8" ht="15" customHeight="1">
      <c r="B110" s="34" t="s">
        <v>113</v>
      </c>
      <c r="C110" s="290" t="s">
        <v>208</v>
      </c>
      <c r="D110" s="292"/>
      <c r="E110" s="80">
        <v>3.3300000000000001E-3</v>
      </c>
      <c r="F110" s="38">
        <f t="shared" si="7"/>
        <v>3.29</v>
      </c>
      <c r="H110" s="5"/>
    </row>
    <row r="111" spans="2:8" ht="15" customHeight="1">
      <c r="B111" s="102" t="s">
        <v>116</v>
      </c>
      <c r="C111" s="322" t="s">
        <v>126</v>
      </c>
      <c r="D111" s="323"/>
      <c r="E111" s="80">
        <v>0</v>
      </c>
      <c r="F111" s="38">
        <f t="shared" si="7"/>
        <v>0</v>
      </c>
      <c r="H111" s="5"/>
    </row>
    <row r="112" spans="2:8" ht="15" customHeight="1">
      <c r="B112" s="293" t="s">
        <v>183</v>
      </c>
      <c r="C112" s="294"/>
      <c r="D112" s="295"/>
      <c r="E112" s="79">
        <f>SUM(E106:E111)</f>
        <v>0.13131999999999999</v>
      </c>
      <c r="F112" s="73">
        <f>SUM(F106:F111)</f>
        <v>129.85</v>
      </c>
      <c r="H112" s="5"/>
    </row>
    <row r="113" spans="2:8" ht="15" customHeight="1">
      <c r="B113" s="102" t="s">
        <v>122</v>
      </c>
      <c r="C113" s="326" t="s">
        <v>209</v>
      </c>
      <c r="D113" s="327"/>
      <c r="E113" s="78">
        <f>E74*E112</f>
        <v>4.743E-2</v>
      </c>
      <c r="F113" s="76">
        <f>E74*F112</f>
        <v>46.9</v>
      </c>
      <c r="H113" s="5"/>
    </row>
    <row r="114" spans="2:8" ht="15" customHeight="1">
      <c r="B114" s="293" t="s">
        <v>57</v>
      </c>
      <c r="C114" s="294"/>
      <c r="D114" s="295"/>
      <c r="E114" s="79">
        <f>SUM(E112:E113)</f>
        <v>0.17874999999999999</v>
      </c>
      <c r="F114" s="69">
        <f>SUM(F112:F113)</f>
        <v>176.75</v>
      </c>
      <c r="H114" s="5"/>
    </row>
    <row r="115" spans="2:8" ht="15" customHeight="1">
      <c r="H115" s="5"/>
    </row>
    <row r="116" spans="2:8" ht="15" customHeight="1">
      <c r="B116" s="293" t="s">
        <v>210</v>
      </c>
      <c r="C116" s="295"/>
      <c r="D116" s="293" t="s">
        <v>211</v>
      </c>
      <c r="E116" s="294"/>
      <c r="F116" s="295"/>
      <c r="H116" s="5"/>
    </row>
    <row r="117" spans="2:8" ht="15" customHeight="1">
      <c r="B117" s="101">
        <v>4</v>
      </c>
      <c r="C117" s="324" t="s">
        <v>212</v>
      </c>
      <c r="D117" s="325"/>
      <c r="E117" s="87" t="s">
        <v>166</v>
      </c>
      <c r="F117" s="68" t="s">
        <v>108</v>
      </c>
      <c r="H117" s="5"/>
    </row>
    <row r="118" spans="2:8" ht="15" customHeight="1">
      <c r="B118" s="34" t="s">
        <v>165</v>
      </c>
      <c r="C118" s="290" t="str">
        <f>D64</f>
        <v>Encargos Previdenciários e FGTS</v>
      </c>
      <c r="D118" s="292"/>
      <c r="E118" s="90">
        <f>E74</f>
        <v>0.36120000000000002</v>
      </c>
      <c r="F118" s="38">
        <f>F74</f>
        <v>357.15</v>
      </c>
      <c r="H118" s="5"/>
    </row>
    <row r="119" spans="2:8" ht="15" customHeight="1">
      <c r="B119" s="34" t="s">
        <v>179</v>
      </c>
      <c r="C119" s="326" t="str">
        <f>D78</f>
        <v>13° Salário e Adicional de Férias</v>
      </c>
      <c r="D119" s="327"/>
      <c r="E119" s="90">
        <f>E84</f>
        <v>0.15124000000000001</v>
      </c>
      <c r="F119" s="38">
        <f>F84</f>
        <v>149.56</v>
      </c>
      <c r="H119" s="5"/>
    </row>
    <row r="120" spans="2:8" ht="15" customHeight="1">
      <c r="B120" s="34" t="s">
        <v>187</v>
      </c>
      <c r="C120" s="290" t="str">
        <f>D86</f>
        <v>Afastamento Maternidade</v>
      </c>
      <c r="D120" s="292"/>
      <c r="E120" s="90">
        <f>E90</f>
        <v>3.9100000000000003E-3</v>
      </c>
      <c r="F120" s="38">
        <f>F90</f>
        <v>3.87</v>
      </c>
      <c r="H120" s="5"/>
    </row>
    <row r="121" spans="2:8" ht="15" customHeight="1">
      <c r="B121" s="34" t="s">
        <v>191</v>
      </c>
      <c r="C121" s="290" t="str">
        <f>D92</f>
        <v>Provisão para Rescisão</v>
      </c>
      <c r="D121" s="292"/>
      <c r="E121" s="90">
        <f>E100</f>
        <v>7.0959999999999995E-2</v>
      </c>
      <c r="F121" s="38">
        <f>F100</f>
        <v>70.16</v>
      </c>
      <c r="H121" s="5"/>
    </row>
    <row r="122" spans="2:8" ht="15" customHeight="1">
      <c r="B122" s="34" t="s">
        <v>202</v>
      </c>
      <c r="C122" s="290" t="str">
        <f>D104</f>
        <v>Custo de Reposição do Profissional Ausente</v>
      </c>
      <c r="D122" s="292"/>
      <c r="E122" s="90">
        <f>E114</f>
        <v>0.17874999999999999</v>
      </c>
      <c r="F122" s="38">
        <f>F114</f>
        <v>176.75</v>
      </c>
      <c r="H122" s="5"/>
    </row>
    <row r="123" spans="2:8" ht="15" customHeight="1">
      <c r="B123" s="102" t="s">
        <v>213</v>
      </c>
      <c r="C123" s="322" t="s">
        <v>126</v>
      </c>
      <c r="D123" s="323"/>
      <c r="E123" s="90">
        <v>0</v>
      </c>
      <c r="F123" s="38">
        <v>0</v>
      </c>
      <c r="H123" s="5"/>
    </row>
    <row r="124" spans="2:8" ht="15" customHeight="1">
      <c r="B124" s="293" t="s">
        <v>57</v>
      </c>
      <c r="C124" s="294"/>
      <c r="D124" s="295"/>
      <c r="E124" s="89">
        <f>SUM(E118:E123)</f>
        <v>0.76605999999999996</v>
      </c>
      <c r="F124" s="69">
        <f>SUM(F118:F123)</f>
        <v>757.49</v>
      </c>
      <c r="H124" s="5"/>
    </row>
    <row r="125" spans="2:8" ht="15" customHeight="1">
      <c r="H125" s="5"/>
    </row>
    <row r="126" spans="2:8" ht="15" customHeight="1">
      <c r="B126" s="293" t="s">
        <v>214</v>
      </c>
      <c r="C126" s="295"/>
      <c r="D126" s="293" t="s">
        <v>215</v>
      </c>
      <c r="E126" s="294"/>
      <c r="F126" s="295"/>
      <c r="H126" s="5"/>
    </row>
    <row r="127" spans="2:8" ht="15" customHeight="1">
      <c r="B127" s="101">
        <v>5</v>
      </c>
      <c r="C127" s="293" t="s">
        <v>216</v>
      </c>
      <c r="D127" s="295"/>
      <c r="E127" s="87" t="s">
        <v>166</v>
      </c>
      <c r="F127" s="68" t="s">
        <v>108</v>
      </c>
      <c r="H127" s="5"/>
    </row>
    <row r="128" spans="2:8" ht="15" customHeight="1">
      <c r="B128" s="34" t="s">
        <v>78</v>
      </c>
      <c r="C128" s="315" t="s">
        <v>217</v>
      </c>
      <c r="D128" s="316"/>
      <c r="E128" s="84">
        <v>5.0000000000000001E-3</v>
      </c>
      <c r="F128" s="40">
        <f>E128*F148</f>
        <v>10.14</v>
      </c>
      <c r="H128" s="5"/>
    </row>
    <row r="129" spans="2:8" ht="15" customHeight="1">
      <c r="B129" s="34" t="s">
        <v>83</v>
      </c>
      <c r="C129" s="104" t="s">
        <v>218</v>
      </c>
      <c r="D129" s="104"/>
      <c r="E129" s="84">
        <v>5.0000000000000001E-3</v>
      </c>
      <c r="F129" s="40">
        <f>E129*(F148+F128)</f>
        <v>10.19</v>
      </c>
      <c r="H129" s="5"/>
    </row>
    <row r="130" spans="2:8" ht="15" customHeight="1">
      <c r="B130" s="303" t="s">
        <v>219</v>
      </c>
      <c r="C130" s="304"/>
      <c r="D130" s="305"/>
      <c r="E130" s="79">
        <f>SUM(E128:E129)</f>
        <v>0.01</v>
      </c>
      <c r="F130" s="69">
        <f>SUM(F128:F129)</f>
        <v>20.329999999999998</v>
      </c>
      <c r="H130" s="5"/>
    </row>
    <row r="131" spans="2:8" ht="15" customHeight="1">
      <c r="B131" s="317" t="s">
        <v>86</v>
      </c>
      <c r="C131" s="290" t="s">
        <v>220</v>
      </c>
      <c r="D131" s="291"/>
      <c r="E131" s="291"/>
      <c r="F131" s="292"/>
      <c r="H131" s="5"/>
    </row>
    <row r="132" spans="2:8" ht="15" customHeight="1">
      <c r="B132" s="318"/>
      <c r="C132" s="320" t="s">
        <v>221</v>
      </c>
      <c r="D132" s="42" t="s">
        <v>222</v>
      </c>
      <c r="E132" s="80">
        <v>7.5999999999999998E-2</v>
      </c>
      <c r="F132" s="41">
        <f>(($F$148+$F$128+$F$129)/(1-$E$136))*E132</f>
        <v>181.56</v>
      </c>
      <c r="H132" s="5"/>
    </row>
    <row r="133" spans="2:8" ht="15" customHeight="1">
      <c r="B133" s="318"/>
      <c r="C133" s="321"/>
      <c r="D133" s="42" t="s">
        <v>223</v>
      </c>
      <c r="E133" s="80">
        <v>1.6500000000000001E-2</v>
      </c>
      <c r="F133" s="41">
        <f t="shared" ref="F133:F135" si="8">(($F$148+$F$128+$F$129)/(1-$E$136))*E133</f>
        <v>39.42</v>
      </c>
      <c r="H133" s="5"/>
    </row>
    <row r="134" spans="2:8" ht="15" customHeight="1">
      <c r="B134" s="318"/>
      <c r="C134" s="43" t="s">
        <v>224</v>
      </c>
      <c r="D134" s="42" t="s">
        <v>225</v>
      </c>
      <c r="E134" s="80">
        <v>0.05</v>
      </c>
      <c r="F134" s="41">
        <f t="shared" si="8"/>
        <v>119.44</v>
      </c>
      <c r="H134" s="5"/>
    </row>
    <row r="135" spans="2:8" ht="15" customHeight="1">
      <c r="B135" s="319"/>
      <c r="C135" s="43" t="s">
        <v>226</v>
      </c>
      <c r="D135" s="72"/>
      <c r="E135" s="80">
        <v>0</v>
      </c>
      <c r="F135" s="41">
        <f t="shared" si="8"/>
        <v>0</v>
      </c>
      <c r="H135" s="5"/>
    </row>
    <row r="136" spans="2:8" ht="15" customHeight="1">
      <c r="B136" s="303" t="s">
        <v>227</v>
      </c>
      <c r="C136" s="304"/>
      <c r="D136" s="305"/>
      <c r="E136" s="79">
        <f>SUM(E132:E135)</f>
        <v>0.14249999999999999</v>
      </c>
      <c r="F136" s="69">
        <f>SUM(F132:F135)</f>
        <v>340.42</v>
      </c>
      <c r="H136" s="5"/>
    </row>
    <row r="137" spans="2:8" ht="15" customHeight="1">
      <c r="B137" s="293" t="s">
        <v>57</v>
      </c>
      <c r="C137" s="294"/>
      <c r="D137" s="295"/>
      <c r="E137" s="79">
        <f>E130+E136</f>
        <v>0.1525</v>
      </c>
      <c r="F137" s="71">
        <f>SUM(F136,F130)</f>
        <v>360.75</v>
      </c>
      <c r="H137" s="5"/>
    </row>
    <row r="138" spans="2:8" ht="15" customHeight="1">
      <c r="B138" s="39" t="s">
        <v>145</v>
      </c>
      <c r="C138" s="306" t="s">
        <v>228</v>
      </c>
      <c r="D138" s="307"/>
      <c r="E138" s="307"/>
      <c r="F138" s="308"/>
      <c r="H138" s="5"/>
    </row>
    <row r="139" spans="2:8" ht="15" customHeight="1">
      <c r="B139" s="39" t="s">
        <v>148</v>
      </c>
      <c r="C139" s="306" t="s">
        <v>229</v>
      </c>
      <c r="D139" s="307"/>
      <c r="E139" s="307"/>
      <c r="F139" s="308"/>
      <c r="H139" s="5"/>
    </row>
    <row r="140" spans="2:8" ht="25.5" customHeight="1">
      <c r="B140" s="39" t="s">
        <v>230</v>
      </c>
      <c r="C140" s="309" t="s">
        <v>231</v>
      </c>
      <c r="D140" s="310"/>
      <c r="E140" s="310"/>
      <c r="F140" s="311"/>
      <c r="H140" s="5"/>
    </row>
    <row r="141" spans="2:8" ht="15" customHeight="1">
      <c r="H141" s="5"/>
    </row>
    <row r="142" spans="2:8" ht="15" customHeight="1">
      <c r="B142" s="293" t="s">
        <v>232</v>
      </c>
      <c r="C142" s="294"/>
      <c r="D142" s="294"/>
      <c r="E142" s="294"/>
      <c r="F142" s="295"/>
      <c r="H142" s="5"/>
    </row>
    <row r="143" spans="2:8" ht="15" customHeight="1">
      <c r="B143" s="300" t="s">
        <v>233</v>
      </c>
      <c r="C143" s="301"/>
      <c r="D143" s="301"/>
      <c r="E143" s="302"/>
      <c r="F143" s="65" t="s">
        <v>234</v>
      </c>
      <c r="H143" s="5"/>
    </row>
    <row r="144" spans="2:8" ht="15" customHeight="1">
      <c r="B144" s="34" t="s">
        <v>78</v>
      </c>
      <c r="C144" s="290" t="s">
        <v>235</v>
      </c>
      <c r="D144" s="291"/>
      <c r="E144" s="292"/>
      <c r="F144" s="38">
        <f>F37</f>
        <v>988.8</v>
      </c>
      <c r="H144" s="5"/>
    </row>
    <row r="145" spans="2:8" ht="15" customHeight="1">
      <c r="B145" s="34" t="s">
        <v>83</v>
      </c>
      <c r="C145" s="290" t="s">
        <v>236</v>
      </c>
      <c r="D145" s="291"/>
      <c r="E145" s="292"/>
      <c r="F145" s="38">
        <f>F47</f>
        <v>269.85000000000002</v>
      </c>
      <c r="H145" s="5"/>
    </row>
    <row r="146" spans="2:8" ht="15" customHeight="1">
      <c r="B146" s="34" t="s">
        <v>86</v>
      </c>
      <c r="C146" s="290" t="s">
        <v>237</v>
      </c>
      <c r="D146" s="291"/>
      <c r="E146" s="292"/>
      <c r="F146" s="38">
        <f>F60</f>
        <v>12</v>
      </c>
      <c r="H146" s="5"/>
    </row>
    <row r="147" spans="2:8" ht="15" customHeight="1">
      <c r="B147" s="34" t="s">
        <v>88</v>
      </c>
      <c r="C147" s="290" t="s">
        <v>212</v>
      </c>
      <c r="D147" s="291"/>
      <c r="E147" s="292"/>
      <c r="F147" s="38">
        <f>F124</f>
        <v>757.49</v>
      </c>
      <c r="H147" s="5"/>
    </row>
    <row r="148" spans="2:8" ht="15" customHeight="1">
      <c r="B148" s="293" t="s">
        <v>238</v>
      </c>
      <c r="C148" s="294"/>
      <c r="D148" s="294"/>
      <c r="E148" s="295"/>
      <c r="F148" s="73">
        <f>SUM(F144:F147)</f>
        <v>2028.14</v>
      </c>
      <c r="H148" s="5"/>
    </row>
    <row r="149" spans="2:8" ht="15" customHeight="1">
      <c r="B149" s="34" t="s">
        <v>113</v>
      </c>
      <c r="C149" s="290" t="s">
        <v>239</v>
      </c>
      <c r="D149" s="291"/>
      <c r="E149" s="292"/>
      <c r="F149" s="38">
        <f>F137</f>
        <v>360.75</v>
      </c>
      <c r="H149" s="5"/>
    </row>
    <row r="150" spans="2:8" ht="15" customHeight="1">
      <c r="B150" s="293" t="s">
        <v>240</v>
      </c>
      <c r="C150" s="294"/>
      <c r="D150" s="294"/>
      <c r="E150" s="295"/>
      <c r="F150" s="73">
        <f>SUM(F148:F149)</f>
        <v>2388.89</v>
      </c>
      <c r="H150" s="5"/>
    </row>
    <row r="151" spans="2:8" ht="15" customHeight="1">
      <c r="B151" s="472" t="s">
        <v>264</v>
      </c>
      <c r="C151" s="472"/>
      <c r="D151" s="472"/>
      <c r="E151" s="472"/>
      <c r="F151" s="110">
        <f>F150*E16</f>
        <v>2388.89</v>
      </c>
      <c r="H151" s="5"/>
    </row>
    <row r="152" spans="2:8" ht="15" customHeight="1">
      <c r="H152" s="5"/>
    </row>
    <row r="153" spans="2:8" ht="26.25" customHeight="1">
      <c r="B153" s="470" t="s">
        <v>151</v>
      </c>
      <c r="C153" s="470"/>
      <c r="D153" s="111" t="s">
        <v>152</v>
      </c>
      <c r="E153" s="470" t="s">
        <v>251</v>
      </c>
      <c r="F153" s="470"/>
      <c r="G153" s="112"/>
      <c r="H153" s="5"/>
    </row>
    <row r="154" spans="2:8" ht="31.5" customHeight="1">
      <c r="B154" s="470" t="s">
        <v>253</v>
      </c>
      <c r="C154" s="470"/>
      <c r="D154" s="113">
        <v>60</v>
      </c>
      <c r="E154" s="471">
        <f>F151*D154</f>
        <v>143333.4</v>
      </c>
      <c r="F154" s="471"/>
      <c r="H154" s="5"/>
    </row>
    <row r="155" spans="2:8" ht="35.25" customHeight="1">
      <c r="B155" s="470" t="s">
        <v>263</v>
      </c>
      <c r="C155" s="470"/>
      <c r="D155" s="113">
        <v>12</v>
      </c>
      <c r="E155" s="471">
        <f>F151*D155</f>
        <v>28666.68</v>
      </c>
      <c r="F155" s="471"/>
      <c r="H155" s="5"/>
    </row>
  </sheetData>
  <mergeCells count="150">
    <mergeCell ref="E2:F2"/>
    <mergeCell ref="B3:F3"/>
    <mergeCell ref="B4:F4"/>
    <mergeCell ref="E5:F5"/>
    <mergeCell ref="E6:F6"/>
    <mergeCell ref="B7:F7"/>
    <mergeCell ref="E12:F12"/>
    <mergeCell ref="C13:D13"/>
    <mergeCell ref="E13:F13"/>
    <mergeCell ref="B14:F14"/>
    <mergeCell ref="B15:C15"/>
    <mergeCell ref="E15:F15"/>
    <mergeCell ref="B8:C8"/>
    <mergeCell ref="E8:F8"/>
    <mergeCell ref="B9:F9"/>
    <mergeCell ref="C10:D10"/>
    <mergeCell ref="E10:F10"/>
    <mergeCell ref="C11:D11"/>
    <mergeCell ref="E11:F11"/>
    <mergeCell ref="C22:E22"/>
    <mergeCell ref="C23:E23"/>
    <mergeCell ref="C24:E24"/>
    <mergeCell ref="C25:E25"/>
    <mergeCell ref="C26:F26"/>
    <mergeCell ref="B27:C27"/>
    <mergeCell ref="D27:F27"/>
    <mergeCell ref="B16:C16"/>
    <mergeCell ref="E16:F16"/>
    <mergeCell ref="B18:F18"/>
    <mergeCell ref="B19:F19"/>
    <mergeCell ref="B20:F20"/>
    <mergeCell ref="B21:F21"/>
    <mergeCell ref="C41:E41"/>
    <mergeCell ref="C42:E42"/>
    <mergeCell ref="C43:E43"/>
    <mergeCell ref="C44:E44"/>
    <mergeCell ref="C45:E45"/>
    <mergeCell ref="C46:E46"/>
    <mergeCell ref="C28:E28"/>
    <mergeCell ref="C36:D36"/>
    <mergeCell ref="B37:D37"/>
    <mergeCell ref="B39:C39"/>
    <mergeCell ref="D39:F39"/>
    <mergeCell ref="C40:E40"/>
    <mergeCell ref="C55:E55"/>
    <mergeCell ref="C56:E56"/>
    <mergeCell ref="C57:E57"/>
    <mergeCell ref="C58:E58"/>
    <mergeCell ref="C59:E59"/>
    <mergeCell ref="B60:E60"/>
    <mergeCell ref="B47:E47"/>
    <mergeCell ref="C48:F48"/>
    <mergeCell ref="B49:B52"/>
    <mergeCell ref="C49:F52"/>
    <mergeCell ref="B54:C54"/>
    <mergeCell ref="D54:F54"/>
    <mergeCell ref="C66:D66"/>
    <mergeCell ref="C67:D67"/>
    <mergeCell ref="C68:D68"/>
    <mergeCell ref="C69:D69"/>
    <mergeCell ref="C70:D70"/>
    <mergeCell ref="C71:D71"/>
    <mergeCell ref="C61:F61"/>
    <mergeCell ref="B63:C63"/>
    <mergeCell ref="D63:F63"/>
    <mergeCell ref="B64:C64"/>
    <mergeCell ref="D64:F64"/>
    <mergeCell ref="C65:D65"/>
    <mergeCell ref="C79:D79"/>
    <mergeCell ref="C80:D80"/>
    <mergeCell ref="C81:D81"/>
    <mergeCell ref="B82:D82"/>
    <mergeCell ref="C83:D83"/>
    <mergeCell ref="B84:D84"/>
    <mergeCell ref="C72:D72"/>
    <mergeCell ref="C73:D73"/>
    <mergeCell ref="B74:D74"/>
    <mergeCell ref="C75:F75"/>
    <mergeCell ref="C76:F76"/>
    <mergeCell ref="B78:C78"/>
    <mergeCell ref="D78:F78"/>
    <mergeCell ref="B92:C92"/>
    <mergeCell ref="D92:F92"/>
    <mergeCell ref="C93:D93"/>
    <mergeCell ref="C94:D94"/>
    <mergeCell ref="C95:D95"/>
    <mergeCell ref="C96:D96"/>
    <mergeCell ref="B86:C86"/>
    <mergeCell ref="D86:F86"/>
    <mergeCell ref="C87:D87"/>
    <mergeCell ref="C88:D88"/>
    <mergeCell ref="C89:D89"/>
    <mergeCell ref="B90:D90"/>
    <mergeCell ref="B104:C104"/>
    <mergeCell ref="D104:F104"/>
    <mergeCell ref="C105:D105"/>
    <mergeCell ref="C106:D106"/>
    <mergeCell ref="C107:D107"/>
    <mergeCell ref="C108:D108"/>
    <mergeCell ref="C97:D97"/>
    <mergeCell ref="C98:D98"/>
    <mergeCell ref="C99:D99"/>
    <mergeCell ref="B100:D100"/>
    <mergeCell ref="C101:F101"/>
    <mergeCell ref="C102:F102"/>
    <mergeCell ref="B116:C116"/>
    <mergeCell ref="D116:F116"/>
    <mergeCell ref="C117:D117"/>
    <mergeCell ref="C118:D118"/>
    <mergeCell ref="C119:D119"/>
    <mergeCell ref="C120:D120"/>
    <mergeCell ref="C109:D109"/>
    <mergeCell ref="C110:D110"/>
    <mergeCell ref="C111:D111"/>
    <mergeCell ref="B112:D112"/>
    <mergeCell ref="C113:D113"/>
    <mergeCell ref="B114:D114"/>
    <mergeCell ref="C127:D127"/>
    <mergeCell ref="C128:D128"/>
    <mergeCell ref="B130:D130"/>
    <mergeCell ref="B131:B135"/>
    <mergeCell ref="C131:F131"/>
    <mergeCell ref="C132:C133"/>
    <mergeCell ref="C121:D121"/>
    <mergeCell ref="C122:D122"/>
    <mergeCell ref="C123:D123"/>
    <mergeCell ref="B124:D124"/>
    <mergeCell ref="B126:C126"/>
    <mergeCell ref="D126:F126"/>
    <mergeCell ref="B143:E143"/>
    <mergeCell ref="C144:E144"/>
    <mergeCell ref="C145:E145"/>
    <mergeCell ref="C146:E146"/>
    <mergeCell ref="C147:E147"/>
    <mergeCell ref="B148:E148"/>
    <mergeCell ref="B136:D136"/>
    <mergeCell ref="B137:D137"/>
    <mergeCell ref="C138:F138"/>
    <mergeCell ref="C139:F139"/>
    <mergeCell ref="C140:F140"/>
    <mergeCell ref="B142:F142"/>
    <mergeCell ref="B155:C155"/>
    <mergeCell ref="E155:F155"/>
    <mergeCell ref="C149:E149"/>
    <mergeCell ref="B150:E150"/>
    <mergeCell ref="B151:E151"/>
    <mergeCell ref="B153:C153"/>
    <mergeCell ref="E153:F153"/>
    <mergeCell ref="B154:C154"/>
    <mergeCell ref="E154:F154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  <rowBreaks count="1" manualBreakCount="1">
    <brk id="90" max="16383" man="1"/>
  </rowBreaks>
  <colBreaks count="1" manualBreakCount="1">
    <brk id="7" max="1048575" man="1"/>
  </colBreaks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600-000000000000}">
          <x14:formula1>
            <xm:f>'#listas#'!$E$1:$E$22</xm:f>
          </x14:formula1>
          <xm:sqref>C2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B1:H155"/>
  <sheetViews>
    <sheetView showGridLines="0" view="pageBreakPreview" topLeftCell="A46" zoomScaleNormal="115" zoomScaleSheetLayoutView="100" workbookViewId="0">
      <selection activeCell="C49" sqref="C49:F52"/>
    </sheetView>
  </sheetViews>
  <sheetFormatPr defaultColWidth="9.140625" defaultRowHeight="15" customHeight="1"/>
  <cols>
    <col min="1" max="1" width="4.42578125" style="5" customWidth="1"/>
    <col min="2" max="2" width="12.85546875" style="44" customWidth="1"/>
    <col min="3" max="3" width="43.42578125" style="44" customWidth="1"/>
    <col min="4" max="4" width="18.85546875" style="44" bestFit="1" customWidth="1"/>
    <col min="5" max="5" width="10.140625" style="85" bestFit="1" customWidth="1"/>
    <col min="6" max="6" width="11.7109375" style="45" customWidth="1"/>
    <col min="7" max="7" width="3.28515625" style="5" customWidth="1"/>
    <col min="8" max="8" width="12.140625" style="52" customWidth="1"/>
    <col min="9" max="16384" width="9.140625" style="5"/>
  </cols>
  <sheetData>
    <row r="1" spans="2:8" ht="15" customHeight="1">
      <c r="H1" s="47"/>
    </row>
    <row r="2" spans="2:8" s="49" customFormat="1" ht="15" customHeight="1">
      <c r="B2" s="8" t="s">
        <v>55</v>
      </c>
      <c r="C2" s="50" t="s">
        <v>21</v>
      </c>
      <c r="D2" s="8" t="s">
        <v>59</v>
      </c>
      <c r="E2" s="462"/>
      <c r="F2" s="462"/>
      <c r="H2" s="51"/>
    </row>
    <row r="3" spans="2:8" ht="21">
      <c r="B3" s="466" t="s">
        <v>290</v>
      </c>
      <c r="C3" s="466"/>
      <c r="D3" s="466"/>
      <c r="E3" s="466"/>
      <c r="F3" s="466"/>
    </row>
    <row r="4" spans="2:8" ht="15" customHeight="1">
      <c r="B4" s="362" t="s">
        <v>60</v>
      </c>
      <c r="C4" s="362"/>
      <c r="D4" s="362"/>
      <c r="E4" s="362"/>
      <c r="F4" s="362"/>
    </row>
    <row r="5" spans="2:8" ht="15" customHeight="1">
      <c r="B5" s="34" t="s">
        <v>62</v>
      </c>
      <c r="C5" s="30"/>
      <c r="D5" s="103" t="s">
        <v>63</v>
      </c>
      <c r="E5" s="468"/>
      <c r="F5" s="468"/>
    </row>
    <row r="6" spans="2:8" ht="15" customHeight="1">
      <c r="B6" s="34" t="s">
        <v>65</v>
      </c>
      <c r="C6" s="31"/>
      <c r="D6" s="34" t="s">
        <v>66</v>
      </c>
      <c r="E6" s="468"/>
      <c r="F6" s="468"/>
    </row>
    <row r="7" spans="2:8" ht="15" customHeight="1">
      <c r="B7" s="362" t="s">
        <v>67</v>
      </c>
      <c r="C7" s="362"/>
      <c r="D7" s="362"/>
      <c r="E7" s="362"/>
      <c r="F7" s="362"/>
    </row>
    <row r="8" spans="2:8" ht="15" customHeight="1">
      <c r="B8" s="459" t="s">
        <v>69</v>
      </c>
      <c r="C8" s="460"/>
      <c r="D8" s="34" t="s">
        <v>70</v>
      </c>
      <c r="E8" s="354"/>
      <c r="F8" s="355"/>
    </row>
    <row r="9" spans="2:8" ht="15" customHeight="1">
      <c r="B9" s="362" t="s">
        <v>75</v>
      </c>
      <c r="C9" s="362"/>
      <c r="D9" s="362"/>
      <c r="E9" s="362"/>
      <c r="F9" s="362"/>
    </row>
    <row r="10" spans="2:8" ht="15" customHeight="1">
      <c r="B10" s="34" t="s">
        <v>78</v>
      </c>
      <c r="C10" s="290" t="s">
        <v>79</v>
      </c>
      <c r="D10" s="291"/>
      <c r="E10" s="461"/>
      <c r="F10" s="461"/>
    </row>
    <row r="11" spans="2:8" ht="15" customHeight="1">
      <c r="B11" s="34" t="s">
        <v>83</v>
      </c>
      <c r="C11" s="290" t="s">
        <v>84</v>
      </c>
      <c r="D11" s="291"/>
      <c r="E11" s="300" t="s">
        <v>85</v>
      </c>
      <c r="F11" s="302"/>
    </row>
    <row r="12" spans="2:8" ht="15" customHeight="1">
      <c r="B12" s="34" t="s">
        <v>86</v>
      </c>
      <c r="C12" s="53" t="s">
        <v>87</v>
      </c>
      <c r="D12" s="54"/>
      <c r="E12" s="300" t="str">
        <f>JARDINEIRO!E12</f>
        <v>RN000112/2018 SINDLIMP</v>
      </c>
      <c r="F12" s="302"/>
    </row>
    <row r="13" spans="2:8" ht="15" customHeight="1">
      <c r="B13" s="34" t="s">
        <v>88</v>
      </c>
      <c r="C13" s="322" t="s">
        <v>89</v>
      </c>
      <c r="D13" s="328"/>
      <c r="E13" s="300">
        <v>12</v>
      </c>
      <c r="F13" s="302"/>
    </row>
    <row r="14" spans="2:8" ht="15" customHeight="1">
      <c r="B14" s="362" t="s">
        <v>90</v>
      </c>
      <c r="C14" s="362"/>
      <c r="D14" s="362"/>
      <c r="E14" s="362"/>
      <c r="F14" s="362"/>
    </row>
    <row r="15" spans="2:8" ht="15" customHeight="1">
      <c r="B15" s="451" t="s">
        <v>91</v>
      </c>
      <c r="C15" s="451"/>
      <c r="D15" s="32" t="s">
        <v>92</v>
      </c>
      <c r="E15" s="452" t="s">
        <v>243</v>
      </c>
      <c r="F15" s="453"/>
    </row>
    <row r="16" spans="2:8" ht="15" customHeight="1">
      <c r="B16" s="455" t="s">
        <v>270</v>
      </c>
      <c r="C16" s="455"/>
      <c r="D16" s="9" t="s">
        <v>95</v>
      </c>
      <c r="E16" s="456">
        <v>1</v>
      </c>
      <c r="F16" s="456"/>
      <c r="H16" s="5"/>
    </row>
    <row r="17" spans="2:8" ht="15" customHeight="1">
      <c r="H17" s="5"/>
    </row>
    <row r="18" spans="2:8" ht="12.75" customHeight="1">
      <c r="B18" s="450"/>
      <c r="C18" s="450"/>
      <c r="D18" s="450"/>
      <c r="E18" s="450"/>
      <c r="F18" s="450"/>
      <c r="H18" s="5"/>
    </row>
    <row r="19" spans="2:8" ht="15" customHeight="1">
      <c r="B19" s="362" t="s">
        <v>71</v>
      </c>
      <c r="C19" s="362"/>
      <c r="D19" s="362"/>
      <c r="E19" s="362"/>
      <c r="F19" s="362"/>
      <c r="H19" s="5"/>
    </row>
    <row r="20" spans="2:8" ht="15" customHeight="1">
      <c r="B20" s="362" t="s">
        <v>96</v>
      </c>
      <c r="C20" s="362"/>
      <c r="D20" s="362"/>
      <c r="E20" s="362"/>
      <c r="F20" s="362"/>
      <c r="H20" s="5"/>
    </row>
    <row r="21" spans="2:8" ht="15" customHeight="1">
      <c r="B21" s="437" t="s">
        <v>98</v>
      </c>
      <c r="C21" s="437"/>
      <c r="D21" s="437"/>
      <c r="E21" s="437"/>
      <c r="F21" s="437"/>
      <c r="H21" s="5"/>
    </row>
    <row r="22" spans="2:8" ht="15" customHeight="1">
      <c r="B22" s="34">
        <v>1</v>
      </c>
      <c r="C22" s="449" t="s">
        <v>99</v>
      </c>
      <c r="D22" s="449"/>
      <c r="E22" s="449"/>
      <c r="F22" s="56"/>
      <c r="H22" s="5"/>
    </row>
    <row r="23" spans="2:8" ht="15" customHeight="1">
      <c r="B23" s="34">
        <v>2</v>
      </c>
      <c r="C23" s="437" t="s">
        <v>100</v>
      </c>
      <c r="D23" s="437"/>
      <c r="E23" s="437"/>
      <c r="F23" s="57">
        <v>1492.31</v>
      </c>
      <c r="H23" s="5"/>
    </row>
    <row r="24" spans="2:8" ht="15" customHeight="1">
      <c r="B24" s="34">
        <v>3</v>
      </c>
      <c r="C24" s="437" t="s">
        <v>101</v>
      </c>
      <c r="D24" s="437"/>
      <c r="E24" s="437"/>
      <c r="F24" s="56"/>
      <c r="H24" s="5"/>
    </row>
    <row r="25" spans="2:8" ht="15" customHeight="1">
      <c r="B25" s="34">
        <v>4</v>
      </c>
      <c r="C25" s="437" t="s">
        <v>102</v>
      </c>
      <c r="D25" s="437"/>
      <c r="E25" s="437"/>
      <c r="F25" s="58">
        <f>JARDINEIRO!F25</f>
        <v>43101</v>
      </c>
      <c r="H25" s="5"/>
    </row>
    <row r="26" spans="2:8" ht="15" customHeight="1">
      <c r="B26" s="37" t="s">
        <v>103</v>
      </c>
      <c r="C26" s="438" t="s">
        <v>104</v>
      </c>
      <c r="D26" s="438"/>
      <c r="E26" s="438"/>
      <c r="F26" s="438"/>
      <c r="H26" s="5"/>
    </row>
    <row r="27" spans="2:8" ht="15" customHeight="1">
      <c r="B27" s="362" t="s">
        <v>105</v>
      </c>
      <c r="C27" s="362"/>
      <c r="D27" s="362" t="s">
        <v>106</v>
      </c>
      <c r="E27" s="362"/>
      <c r="F27" s="362"/>
      <c r="H27" s="5"/>
    </row>
    <row r="28" spans="2:8" ht="15" customHeight="1">
      <c r="B28" s="101">
        <v>1</v>
      </c>
      <c r="C28" s="362" t="s">
        <v>107</v>
      </c>
      <c r="D28" s="362"/>
      <c r="E28" s="362"/>
      <c r="F28" s="68" t="s">
        <v>108</v>
      </c>
      <c r="H28" s="5"/>
    </row>
    <row r="29" spans="2:8" ht="15" customHeight="1">
      <c r="B29" s="34" t="s">
        <v>78</v>
      </c>
      <c r="C29" s="59" t="s">
        <v>109</v>
      </c>
      <c r="D29" s="60"/>
      <c r="E29" s="80"/>
      <c r="F29" s="61">
        <v>1492.31</v>
      </c>
      <c r="H29" s="5"/>
    </row>
    <row r="30" spans="2:8" ht="15" customHeight="1">
      <c r="B30" s="34" t="s">
        <v>83</v>
      </c>
      <c r="C30" s="59" t="s">
        <v>110</v>
      </c>
      <c r="D30" s="60"/>
      <c r="E30" s="80"/>
      <c r="F30" s="61">
        <f t="shared" ref="F30:F36" si="0">$F$29*E30</f>
        <v>0</v>
      </c>
      <c r="H30" s="5"/>
    </row>
    <row r="31" spans="2:8" ht="15" customHeight="1">
      <c r="B31" s="34" t="s">
        <v>86</v>
      </c>
      <c r="C31" s="59" t="s">
        <v>111</v>
      </c>
      <c r="D31" s="60"/>
      <c r="E31" s="81">
        <v>0.2</v>
      </c>
      <c r="F31" s="61">
        <f>$F$29*E31</f>
        <v>298.45999999999998</v>
      </c>
      <c r="H31" s="5"/>
    </row>
    <row r="32" spans="2:8" ht="15" customHeight="1">
      <c r="B32" s="34" t="s">
        <v>88</v>
      </c>
      <c r="C32" s="59" t="s">
        <v>112</v>
      </c>
      <c r="D32" s="60"/>
      <c r="E32" s="80"/>
      <c r="F32" s="61">
        <f t="shared" si="0"/>
        <v>0</v>
      </c>
      <c r="H32" s="5"/>
    </row>
    <row r="33" spans="2:8" ht="15" customHeight="1">
      <c r="B33" s="34" t="s">
        <v>113</v>
      </c>
      <c r="C33" s="59" t="s">
        <v>114</v>
      </c>
      <c r="D33" s="60"/>
      <c r="E33" s="80"/>
      <c r="F33" s="61">
        <f t="shared" si="0"/>
        <v>0</v>
      </c>
      <c r="H33" s="5"/>
    </row>
    <row r="34" spans="2:8" ht="15" customHeight="1">
      <c r="B34" s="34" t="s">
        <v>116</v>
      </c>
      <c r="C34" s="59" t="s">
        <v>117</v>
      </c>
      <c r="D34" s="60"/>
      <c r="E34" s="80"/>
      <c r="F34" s="61">
        <f t="shared" si="0"/>
        <v>0</v>
      </c>
      <c r="H34" s="5"/>
    </row>
    <row r="35" spans="2:8" ht="15" customHeight="1">
      <c r="B35" s="34" t="s">
        <v>122</v>
      </c>
      <c r="C35" s="59" t="s">
        <v>123</v>
      </c>
      <c r="D35" s="60"/>
      <c r="E35" s="80"/>
      <c r="F35" s="61">
        <f t="shared" si="0"/>
        <v>0</v>
      </c>
      <c r="H35" s="5"/>
    </row>
    <row r="36" spans="2:8" ht="15" customHeight="1">
      <c r="B36" s="102" t="s">
        <v>125</v>
      </c>
      <c r="C36" s="290" t="s">
        <v>126</v>
      </c>
      <c r="D36" s="292"/>
      <c r="E36" s="81"/>
      <c r="F36" s="61">
        <f t="shared" si="0"/>
        <v>0</v>
      </c>
      <c r="H36" s="5"/>
    </row>
    <row r="37" spans="2:8" ht="15" customHeight="1">
      <c r="B37" s="293" t="s">
        <v>128</v>
      </c>
      <c r="C37" s="294"/>
      <c r="D37" s="295"/>
      <c r="E37" s="86">
        <f>SUM(E30:E36)</f>
        <v>0.2</v>
      </c>
      <c r="F37" s="69">
        <f>SUM(F29:F36)</f>
        <v>1790.77</v>
      </c>
      <c r="H37" s="5"/>
    </row>
    <row r="38" spans="2:8" ht="15" customHeight="1">
      <c r="H38" s="5"/>
    </row>
    <row r="39" spans="2:8" ht="15" customHeight="1">
      <c r="B39" s="362" t="s">
        <v>130</v>
      </c>
      <c r="C39" s="362"/>
      <c r="D39" s="362" t="s">
        <v>131</v>
      </c>
      <c r="E39" s="362"/>
      <c r="F39" s="362"/>
      <c r="H39" s="5"/>
    </row>
    <row r="40" spans="2:8" ht="15" customHeight="1">
      <c r="B40" s="101">
        <v>2</v>
      </c>
      <c r="C40" s="362" t="s">
        <v>132</v>
      </c>
      <c r="D40" s="362"/>
      <c r="E40" s="362"/>
      <c r="F40" s="68" t="s">
        <v>108</v>
      </c>
      <c r="H40" s="5"/>
    </row>
    <row r="41" spans="2:8" ht="15" customHeight="1">
      <c r="B41" s="102" t="s">
        <v>78</v>
      </c>
      <c r="C41" s="290" t="s">
        <v>133</v>
      </c>
      <c r="D41" s="291"/>
      <c r="E41" s="292"/>
      <c r="F41" s="120">
        <f>(2*2*26)-(0.06*F29)</f>
        <v>14.46</v>
      </c>
      <c r="H41" s="5"/>
    </row>
    <row r="42" spans="2:8" ht="15" customHeight="1">
      <c r="B42" s="102" t="s">
        <v>83</v>
      </c>
      <c r="C42" s="393" t="s">
        <v>134</v>
      </c>
      <c r="D42" s="393"/>
      <c r="E42" s="393"/>
      <c r="F42" s="33">
        <f>JARDINEIRO!F42</f>
        <v>116.18</v>
      </c>
      <c r="H42" s="5"/>
    </row>
    <row r="43" spans="2:8" ht="15" customHeight="1">
      <c r="B43" s="34" t="s">
        <v>86</v>
      </c>
      <c r="C43" s="382" t="s">
        <v>135</v>
      </c>
      <c r="D43" s="382"/>
      <c r="E43" s="382"/>
      <c r="F43" s="33">
        <f>JARDINEIRO!F43</f>
        <v>90</v>
      </c>
      <c r="H43" s="5"/>
    </row>
    <row r="44" spans="2:8" ht="15" customHeight="1">
      <c r="B44" s="34" t="s">
        <v>88</v>
      </c>
      <c r="C44" s="382" t="s">
        <v>136</v>
      </c>
      <c r="D44" s="382"/>
      <c r="E44" s="382"/>
      <c r="F44" s="33">
        <f>JARDINEIRO!F44</f>
        <v>10</v>
      </c>
      <c r="H44" s="5"/>
    </row>
    <row r="45" spans="2:8" ht="15" customHeight="1">
      <c r="B45" s="34" t="s">
        <v>113</v>
      </c>
      <c r="C45" s="382" t="s">
        <v>138</v>
      </c>
      <c r="D45" s="382"/>
      <c r="E45" s="382"/>
      <c r="F45" s="33">
        <f>JARDINEIRO!F45</f>
        <v>9</v>
      </c>
      <c r="H45" s="5"/>
    </row>
    <row r="46" spans="2:8" ht="15" customHeight="1">
      <c r="B46" s="102" t="s">
        <v>116</v>
      </c>
      <c r="C46" s="382" t="s">
        <v>258</v>
      </c>
      <c r="D46" s="382"/>
      <c r="E46" s="382"/>
      <c r="F46" s="33">
        <f>JARDINEIRO!F46</f>
        <v>0</v>
      </c>
      <c r="H46" s="5"/>
    </row>
    <row r="47" spans="2:8" ht="15" customHeight="1">
      <c r="B47" s="362" t="s">
        <v>143</v>
      </c>
      <c r="C47" s="362"/>
      <c r="D47" s="362"/>
      <c r="E47" s="362"/>
      <c r="F47" s="69">
        <f>SUM(F41:F46)</f>
        <v>239.64</v>
      </c>
      <c r="H47" s="5"/>
    </row>
    <row r="48" spans="2:8" ht="27.75" customHeight="1">
      <c r="B48" s="34" t="s">
        <v>145</v>
      </c>
      <c r="C48" s="309" t="s">
        <v>146</v>
      </c>
      <c r="D48" s="310"/>
      <c r="E48" s="310"/>
      <c r="F48" s="311"/>
      <c r="H48" s="5"/>
    </row>
    <row r="49" spans="2:8" ht="35.25" customHeight="1">
      <c r="B49" s="317" t="s">
        <v>148</v>
      </c>
      <c r="C49" s="373" t="s">
        <v>149</v>
      </c>
      <c r="D49" s="374"/>
      <c r="E49" s="374"/>
      <c r="F49" s="375"/>
      <c r="H49" s="5"/>
    </row>
    <row r="50" spans="2:8" ht="11.25" customHeight="1">
      <c r="B50" s="318"/>
      <c r="C50" s="376"/>
      <c r="D50" s="377"/>
      <c r="E50" s="377"/>
      <c r="F50" s="378"/>
      <c r="H50" s="5"/>
    </row>
    <row r="51" spans="2:8" ht="21.75" customHeight="1">
      <c r="B51" s="318"/>
      <c r="C51" s="376"/>
      <c r="D51" s="377"/>
      <c r="E51" s="377"/>
      <c r="F51" s="378"/>
      <c r="H51" s="5"/>
    </row>
    <row r="52" spans="2:8" ht="20.25" customHeight="1">
      <c r="B52" s="319"/>
      <c r="C52" s="379"/>
      <c r="D52" s="380"/>
      <c r="E52" s="380"/>
      <c r="F52" s="381"/>
      <c r="H52" s="5"/>
    </row>
    <row r="53" spans="2:8" ht="15" customHeight="1">
      <c r="H53" s="5"/>
    </row>
    <row r="54" spans="2:8" ht="15" customHeight="1">
      <c r="B54" s="293" t="s">
        <v>153</v>
      </c>
      <c r="C54" s="295"/>
      <c r="D54" s="293" t="s">
        <v>154</v>
      </c>
      <c r="E54" s="294"/>
      <c r="F54" s="295"/>
      <c r="H54" s="5"/>
    </row>
    <row r="55" spans="2:8" ht="15" customHeight="1">
      <c r="B55" s="101">
        <v>3</v>
      </c>
      <c r="C55" s="293" t="s">
        <v>155</v>
      </c>
      <c r="D55" s="294"/>
      <c r="E55" s="295"/>
      <c r="F55" s="68" t="s">
        <v>108</v>
      </c>
      <c r="H55" s="5"/>
    </row>
    <row r="56" spans="2:8" ht="15" customHeight="1">
      <c r="B56" s="34" t="s">
        <v>78</v>
      </c>
      <c r="C56" s="290" t="s">
        <v>156</v>
      </c>
      <c r="D56" s="291"/>
      <c r="E56" s="292"/>
      <c r="F56" s="35">
        <v>12</v>
      </c>
      <c r="H56" s="5"/>
    </row>
    <row r="57" spans="2:8" ht="15" customHeight="1">
      <c r="B57" s="34" t="s">
        <v>83</v>
      </c>
      <c r="C57" s="290" t="s">
        <v>157</v>
      </c>
      <c r="D57" s="291"/>
      <c r="E57" s="292"/>
      <c r="F57" s="35">
        <v>347.11</v>
      </c>
      <c r="H57" s="5"/>
    </row>
    <row r="58" spans="2:8" ht="15" customHeight="1">
      <c r="B58" s="34" t="s">
        <v>86</v>
      </c>
      <c r="C58" s="290" t="s">
        <v>158</v>
      </c>
      <c r="D58" s="291"/>
      <c r="E58" s="292"/>
      <c r="F58" s="35">
        <v>0</v>
      </c>
      <c r="H58" s="5"/>
    </row>
    <row r="59" spans="2:8" ht="15" customHeight="1">
      <c r="B59" s="102" t="s">
        <v>88</v>
      </c>
      <c r="C59" s="322" t="s">
        <v>259</v>
      </c>
      <c r="D59" s="328"/>
      <c r="E59" s="323"/>
      <c r="F59" s="36">
        <f>F58*-0.8</f>
        <v>0</v>
      </c>
      <c r="H59" s="5"/>
    </row>
    <row r="60" spans="2:8" ht="15" customHeight="1">
      <c r="B60" s="293" t="s">
        <v>159</v>
      </c>
      <c r="C60" s="294"/>
      <c r="D60" s="294"/>
      <c r="E60" s="295"/>
      <c r="F60" s="69">
        <f>SUM(F56:F59)</f>
        <v>359.11</v>
      </c>
      <c r="H60" s="5"/>
    </row>
    <row r="61" spans="2:8" ht="15" customHeight="1">
      <c r="B61" s="37" t="s">
        <v>103</v>
      </c>
      <c r="C61" s="306" t="s">
        <v>160</v>
      </c>
      <c r="D61" s="307"/>
      <c r="E61" s="307"/>
      <c r="F61" s="308"/>
      <c r="H61" s="5"/>
    </row>
    <row r="62" spans="2:8" ht="15" customHeight="1">
      <c r="H62" s="5"/>
    </row>
    <row r="63" spans="2:8" ht="15" customHeight="1">
      <c r="B63" s="293" t="s">
        <v>161</v>
      </c>
      <c r="C63" s="295"/>
      <c r="D63" s="293" t="s">
        <v>162</v>
      </c>
      <c r="E63" s="294"/>
      <c r="F63" s="295"/>
      <c r="H63" s="5"/>
    </row>
    <row r="64" spans="2:8" ht="15" customHeight="1">
      <c r="B64" s="293" t="s">
        <v>163</v>
      </c>
      <c r="C64" s="295"/>
      <c r="D64" s="293" t="s">
        <v>164</v>
      </c>
      <c r="E64" s="294"/>
      <c r="F64" s="295"/>
      <c r="H64" s="5"/>
    </row>
    <row r="65" spans="2:8" ht="15" customHeight="1">
      <c r="B65" s="101" t="s">
        <v>165</v>
      </c>
      <c r="C65" s="293" t="s">
        <v>164</v>
      </c>
      <c r="D65" s="295"/>
      <c r="E65" s="87" t="s">
        <v>166</v>
      </c>
      <c r="F65" s="68" t="s">
        <v>108</v>
      </c>
      <c r="H65" s="5"/>
    </row>
    <row r="66" spans="2:8" ht="15" customHeight="1">
      <c r="B66" s="34" t="s">
        <v>78</v>
      </c>
      <c r="C66" s="290" t="s">
        <v>167</v>
      </c>
      <c r="D66" s="292"/>
      <c r="E66" s="80">
        <v>0.2</v>
      </c>
      <c r="F66" s="38">
        <f t="shared" ref="F66:F73" si="1">E66*$F$37</f>
        <v>358.15</v>
      </c>
      <c r="H66" s="5"/>
    </row>
    <row r="67" spans="2:8" ht="15" customHeight="1">
      <c r="B67" s="34" t="s">
        <v>83</v>
      </c>
      <c r="C67" s="290" t="s">
        <v>168</v>
      </c>
      <c r="D67" s="292"/>
      <c r="E67" s="80">
        <v>1.4999999999999999E-2</v>
      </c>
      <c r="F67" s="38">
        <f t="shared" si="1"/>
        <v>26.86</v>
      </c>
      <c r="H67" s="5"/>
    </row>
    <row r="68" spans="2:8" ht="15" customHeight="1">
      <c r="B68" s="34" t="s">
        <v>86</v>
      </c>
      <c r="C68" s="290" t="s">
        <v>169</v>
      </c>
      <c r="D68" s="292"/>
      <c r="E68" s="80">
        <v>0.01</v>
      </c>
      <c r="F68" s="38">
        <f t="shared" si="1"/>
        <v>17.91</v>
      </c>
      <c r="H68" s="5"/>
    </row>
    <row r="69" spans="2:8" ht="15" customHeight="1">
      <c r="B69" s="34" t="s">
        <v>88</v>
      </c>
      <c r="C69" s="290" t="s">
        <v>170</v>
      </c>
      <c r="D69" s="292"/>
      <c r="E69" s="80">
        <v>2E-3</v>
      </c>
      <c r="F69" s="38">
        <f t="shared" si="1"/>
        <v>3.58</v>
      </c>
      <c r="H69" s="5"/>
    </row>
    <row r="70" spans="2:8" ht="15" customHeight="1">
      <c r="B70" s="34" t="s">
        <v>113</v>
      </c>
      <c r="C70" s="290" t="s">
        <v>171</v>
      </c>
      <c r="D70" s="292"/>
      <c r="E70" s="80">
        <v>2.5000000000000001E-2</v>
      </c>
      <c r="F70" s="38">
        <f t="shared" si="1"/>
        <v>44.77</v>
      </c>
      <c r="H70" s="5"/>
    </row>
    <row r="71" spans="2:8" ht="15" customHeight="1">
      <c r="B71" s="34" t="s">
        <v>116</v>
      </c>
      <c r="C71" s="290" t="s">
        <v>172</v>
      </c>
      <c r="D71" s="292"/>
      <c r="E71" s="80">
        <v>0.08</v>
      </c>
      <c r="F71" s="38">
        <f t="shared" si="1"/>
        <v>143.26</v>
      </c>
      <c r="H71" s="5"/>
    </row>
    <row r="72" spans="2:8" ht="15" customHeight="1">
      <c r="B72" s="34" t="s">
        <v>122</v>
      </c>
      <c r="C72" s="290" t="s">
        <v>261</v>
      </c>
      <c r="D72" s="292"/>
      <c r="E72" s="80">
        <v>2.3199999999999998E-2</v>
      </c>
      <c r="F72" s="38">
        <f t="shared" si="1"/>
        <v>41.55</v>
      </c>
      <c r="H72" s="5"/>
    </row>
    <row r="73" spans="2:8" ht="15" customHeight="1">
      <c r="B73" s="34" t="s">
        <v>125</v>
      </c>
      <c r="C73" s="290" t="s">
        <v>174</v>
      </c>
      <c r="D73" s="292"/>
      <c r="E73" s="80">
        <v>6.0000000000000001E-3</v>
      </c>
      <c r="F73" s="38">
        <f t="shared" si="1"/>
        <v>10.74</v>
      </c>
      <c r="H73" s="5"/>
    </row>
    <row r="74" spans="2:8" ht="15" customHeight="1">
      <c r="B74" s="293" t="s">
        <v>57</v>
      </c>
      <c r="C74" s="294"/>
      <c r="D74" s="295"/>
      <c r="E74" s="79">
        <f>SUM(E66:E73)</f>
        <v>0.36120000000000002</v>
      </c>
      <c r="F74" s="69">
        <f>SUM(F66:F73)</f>
        <v>646.82000000000005</v>
      </c>
      <c r="H74" s="5"/>
    </row>
    <row r="75" spans="2:8" ht="15" customHeight="1">
      <c r="B75" s="39" t="s">
        <v>145</v>
      </c>
      <c r="C75" s="309" t="s">
        <v>175</v>
      </c>
      <c r="D75" s="310"/>
      <c r="E75" s="310"/>
      <c r="F75" s="311"/>
      <c r="H75" s="5"/>
    </row>
    <row r="76" spans="2:8" ht="15" customHeight="1">
      <c r="B76" s="39" t="s">
        <v>148</v>
      </c>
      <c r="C76" s="331" t="s">
        <v>176</v>
      </c>
      <c r="D76" s="332"/>
      <c r="E76" s="332"/>
      <c r="F76" s="333"/>
      <c r="H76" s="5"/>
    </row>
    <row r="77" spans="2:8" ht="15" customHeight="1">
      <c r="H77" s="5"/>
    </row>
    <row r="78" spans="2:8" ht="15" customHeight="1">
      <c r="B78" s="293" t="s">
        <v>177</v>
      </c>
      <c r="C78" s="295"/>
      <c r="D78" s="293" t="s">
        <v>178</v>
      </c>
      <c r="E78" s="294"/>
      <c r="F78" s="295"/>
      <c r="H78" s="5"/>
    </row>
    <row r="79" spans="2:8" ht="15" customHeight="1">
      <c r="B79" s="101" t="s">
        <v>179</v>
      </c>
      <c r="C79" s="293" t="s">
        <v>180</v>
      </c>
      <c r="D79" s="295"/>
      <c r="E79" s="87" t="s">
        <v>166</v>
      </c>
      <c r="F79" s="68" t="s">
        <v>108</v>
      </c>
      <c r="H79" s="5"/>
    </row>
    <row r="80" spans="2:8" ht="15" customHeight="1">
      <c r="B80" s="34" t="s">
        <v>78</v>
      </c>
      <c r="C80" s="290" t="s">
        <v>181</v>
      </c>
      <c r="D80" s="292"/>
      <c r="E80" s="80">
        <v>8.3330000000000001E-2</v>
      </c>
      <c r="F80" s="38">
        <f>E80*$F$37</f>
        <v>149.22</v>
      </c>
      <c r="H80" s="5"/>
    </row>
    <row r="81" spans="2:8" ht="15" customHeight="1">
      <c r="B81" s="64" t="s">
        <v>83</v>
      </c>
      <c r="C81" s="329" t="s">
        <v>182</v>
      </c>
      <c r="D81" s="330"/>
      <c r="E81" s="82">
        <v>2.7779999999999999E-2</v>
      </c>
      <c r="F81" s="38">
        <f>E81*$F$37</f>
        <v>49.75</v>
      </c>
      <c r="H81" s="5"/>
    </row>
    <row r="82" spans="2:8" ht="15" customHeight="1">
      <c r="B82" s="293" t="s">
        <v>183</v>
      </c>
      <c r="C82" s="294"/>
      <c r="D82" s="295"/>
      <c r="E82" s="83">
        <f>SUM(E80:E81)</f>
        <v>0.11111</v>
      </c>
      <c r="F82" s="70">
        <f>SUM(F80:F81)</f>
        <v>198.97</v>
      </c>
      <c r="H82" s="5"/>
    </row>
    <row r="83" spans="2:8" s="63" customFormat="1" ht="15" customHeight="1">
      <c r="B83" s="102" t="s">
        <v>86</v>
      </c>
      <c r="C83" s="322" t="s">
        <v>184</v>
      </c>
      <c r="D83" s="323"/>
      <c r="E83" s="88">
        <f>E74*E82</f>
        <v>4.0129999999999999E-2</v>
      </c>
      <c r="F83" s="94">
        <f>F82*E74</f>
        <v>71.87</v>
      </c>
    </row>
    <row r="84" spans="2:8" ht="15" customHeight="1">
      <c r="B84" s="293" t="s">
        <v>57</v>
      </c>
      <c r="C84" s="294"/>
      <c r="D84" s="295"/>
      <c r="E84" s="79">
        <f>SUM(E82:E83)</f>
        <v>0.15124000000000001</v>
      </c>
      <c r="F84" s="71">
        <f>SUM(F82:F83)</f>
        <v>270.83999999999997</v>
      </c>
      <c r="H84" s="5"/>
    </row>
    <row r="85" spans="2:8" ht="15" customHeight="1">
      <c r="H85" s="5"/>
    </row>
    <row r="86" spans="2:8" ht="15" customHeight="1">
      <c r="B86" s="293" t="s">
        <v>185</v>
      </c>
      <c r="C86" s="295"/>
      <c r="D86" s="293" t="s">
        <v>186</v>
      </c>
      <c r="E86" s="294"/>
      <c r="F86" s="295"/>
      <c r="H86" s="5"/>
    </row>
    <row r="87" spans="2:8" ht="15" customHeight="1">
      <c r="B87" s="101" t="s">
        <v>187</v>
      </c>
      <c r="C87" s="293" t="s">
        <v>186</v>
      </c>
      <c r="D87" s="295"/>
      <c r="E87" s="87" t="s">
        <v>166</v>
      </c>
      <c r="F87" s="68" t="s">
        <v>108</v>
      </c>
      <c r="H87" s="5"/>
    </row>
    <row r="88" spans="2:8" ht="15" customHeight="1">
      <c r="B88" s="34" t="s">
        <v>78</v>
      </c>
      <c r="C88" s="290" t="s">
        <v>186</v>
      </c>
      <c r="D88" s="292"/>
      <c r="E88" s="78">
        <v>2.8700000000000002E-3</v>
      </c>
      <c r="F88" s="38">
        <f>E88*$F$37</f>
        <v>5.14</v>
      </c>
      <c r="H88" s="5"/>
    </row>
    <row r="89" spans="2:8" ht="15" customHeight="1">
      <c r="B89" s="102" t="s">
        <v>83</v>
      </c>
      <c r="C89" s="322" t="s">
        <v>188</v>
      </c>
      <c r="D89" s="323"/>
      <c r="E89" s="88">
        <f>E74*E88</f>
        <v>1.0399999999999999E-3</v>
      </c>
      <c r="F89" s="94">
        <f>F88*E74</f>
        <v>1.86</v>
      </c>
      <c r="H89" s="5"/>
    </row>
    <row r="90" spans="2:8" ht="15" customHeight="1">
      <c r="B90" s="293" t="s">
        <v>57</v>
      </c>
      <c r="C90" s="294"/>
      <c r="D90" s="295"/>
      <c r="E90" s="89">
        <f>SUM(E88:E89)</f>
        <v>3.9100000000000003E-3</v>
      </c>
      <c r="F90" s="69">
        <f>SUM(F88:F89)</f>
        <v>7</v>
      </c>
      <c r="H90" s="5"/>
    </row>
    <row r="91" spans="2:8" ht="15" customHeight="1">
      <c r="H91" s="5"/>
    </row>
    <row r="92" spans="2:8" ht="15" customHeight="1">
      <c r="B92" s="293" t="s">
        <v>189</v>
      </c>
      <c r="C92" s="295"/>
      <c r="D92" s="293" t="s">
        <v>190</v>
      </c>
      <c r="E92" s="294"/>
      <c r="F92" s="295"/>
      <c r="H92" s="5"/>
    </row>
    <row r="93" spans="2:8" ht="15" customHeight="1">
      <c r="B93" s="101" t="s">
        <v>191</v>
      </c>
      <c r="C93" s="293" t="s">
        <v>190</v>
      </c>
      <c r="D93" s="295"/>
      <c r="E93" s="87" t="s">
        <v>166</v>
      </c>
      <c r="F93" s="68" t="s">
        <v>108</v>
      </c>
      <c r="H93" s="5"/>
    </row>
    <row r="94" spans="2:8" ht="15" customHeight="1">
      <c r="B94" s="34" t="s">
        <v>78</v>
      </c>
      <c r="C94" s="290" t="s">
        <v>192</v>
      </c>
      <c r="D94" s="292"/>
      <c r="E94" s="78">
        <v>4.1700000000000001E-3</v>
      </c>
      <c r="F94" s="38">
        <f>E94*$F$37</f>
        <v>7.47</v>
      </c>
      <c r="H94" s="5"/>
    </row>
    <row r="95" spans="2:8" ht="15" customHeight="1">
      <c r="B95" s="34" t="s">
        <v>83</v>
      </c>
      <c r="C95" s="326" t="s">
        <v>193</v>
      </c>
      <c r="D95" s="327"/>
      <c r="E95" s="78">
        <f>E94*E71</f>
        <v>3.3E-4</v>
      </c>
      <c r="F95" s="38">
        <f>F94*E71</f>
        <v>0.6</v>
      </c>
      <c r="H95" s="5"/>
    </row>
    <row r="96" spans="2:8" ht="15" customHeight="1">
      <c r="B96" s="34" t="s">
        <v>86</v>
      </c>
      <c r="C96" s="290" t="s">
        <v>194</v>
      </c>
      <c r="D96" s="292"/>
      <c r="E96" s="78">
        <v>3.2000000000000001E-2</v>
      </c>
      <c r="F96" s="38">
        <f>E96*$F$37</f>
        <v>57.3</v>
      </c>
      <c r="H96" s="5"/>
    </row>
    <row r="97" spans="2:8" ht="15" customHeight="1">
      <c r="B97" s="34" t="s">
        <v>88</v>
      </c>
      <c r="C97" s="290" t="s">
        <v>195</v>
      </c>
      <c r="D97" s="292"/>
      <c r="E97" s="78">
        <v>1.9439999999999999E-2</v>
      </c>
      <c r="F97" s="38">
        <f>E97*$F$37</f>
        <v>34.81</v>
      </c>
      <c r="H97" s="5"/>
    </row>
    <row r="98" spans="2:8" ht="15" customHeight="1">
      <c r="B98" s="34" t="s">
        <v>113</v>
      </c>
      <c r="C98" s="326" t="s">
        <v>196</v>
      </c>
      <c r="D98" s="327"/>
      <c r="E98" s="78">
        <f>E97*E74</f>
        <v>7.0200000000000002E-3</v>
      </c>
      <c r="F98" s="94">
        <f>F97*E74</f>
        <v>12.57</v>
      </c>
      <c r="H98" s="5"/>
    </row>
    <row r="99" spans="2:8" ht="15" customHeight="1">
      <c r="B99" s="102" t="s">
        <v>88</v>
      </c>
      <c r="C99" s="290" t="s">
        <v>197</v>
      </c>
      <c r="D99" s="292"/>
      <c r="E99" s="78">
        <v>8.0000000000000002E-3</v>
      </c>
      <c r="F99" s="38">
        <f>E99*$F$37</f>
        <v>14.33</v>
      </c>
      <c r="H99" s="5"/>
    </row>
    <row r="100" spans="2:8" ht="15" customHeight="1">
      <c r="B100" s="293" t="s">
        <v>57</v>
      </c>
      <c r="C100" s="294"/>
      <c r="D100" s="295"/>
      <c r="E100" s="79">
        <f>SUM(E94:E99)</f>
        <v>7.0959999999999995E-2</v>
      </c>
      <c r="F100" s="69">
        <f>SUM(F94:F99)</f>
        <v>127.08</v>
      </c>
      <c r="H100" s="5"/>
    </row>
    <row r="101" spans="2:8" ht="27" customHeight="1">
      <c r="B101" s="32" t="s">
        <v>145</v>
      </c>
      <c r="C101" s="322" t="s">
        <v>198</v>
      </c>
      <c r="D101" s="328"/>
      <c r="E101" s="328"/>
      <c r="F101" s="323"/>
      <c r="H101" s="5"/>
    </row>
    <row r="102" spans="2:8" ht="24.75" customHeight="1">
      <c r="B102" s="32" t="s">
        <v>148</v>
      </c>
      <c r="C102" s="322" t="s">
        <v>199</v>
      </c>
      <c r="D102" s="328"/>
      <c r="E102" s="328"/>
      <c r="F102" s="323"/>
      <c r="H102" s="5"/>
    </row>
    <row r="103" spans="2:8" ht="15" customHeight="1">
      <c r="H103" s="5"/>
    </row>
    <row r="104" spans="2:8" ht="15" customHeight="1">
      <c r="B104" s="293" t="s">
        <v>200</v>
      </c>
      <c r="C104" s="295"/>
      <c r="D104" s="293" t="s">
        <v>201</v>
      </c>
      <c r="E104" s="294"/>
      <c r="F104" s="295"/>
      <c r="H104" s="5"/>
    </row>
    <row r="105" spans="2:8" ht="15" customHeight="1">
      <c r="B105" s="101" t="s">
        <v>202</v>
      </c>
      <c r="C105" s="324" t="s">
        <v>203</v>
      </c>
      <c r="D105" s="325"/>
      <c r="E105" s="87" t="s">
        <v>166</v>
      </c>
      <c r="F105" s="68" t="s">
        <v>108</v>
      </c>
      <c r="H105" s="5"/>
    </row>
    <row r="106" spans="2:8" ht="15" customHeight="1">
      <c r="B106" s="34" t="s">
        <v>78</v>
      </c>
      <c r="C106" s="290" t="s">
        <v>204</v>
      </c>
      <c r="D106" s="292"/>
      <c r="E106" s="80">
        <v>0.11111</v>
      </c>
      <c r="F106" s="38">
        <f t="shared" ref="F106:F111" si="2">E106*$F$37</f>
        <v>198.97</v>
      </c>
      <c r="H106" s="5"/>
    </row>
    <row r="107" spans="2:8" ht="15" customHeight="1">
      <c r="B107" s="34" t="s">
        <v>83</v>
      </c>
      <c r="C107" s="326" t="s">
        <v>205</v>
      </c>
      <c r="D107" s="327"/>
      <c r="E107" s="80">
        <v>1.389E-2</v>
      </c>
      <c r="F107" s="38">
        <f t="shared" si="2"/>
        <v>24.87</v>
      </c>
      <c r="H107" s="5"/>
    </row>
    <row r="108" spans="2:8" ht="15" customHeight="1">
      <c r="B108" s="34" t="s">
        <v>86</v>
      </c>
      <c r="C108" s="290" t="s">
        <v>206</v>
      </c>
      <c r="D108" s="292"/>
      <c r="E108" s="80">
        <v>2.1000000000000001E-4</v>
      </c>
      <c r="F108" s="38">
        <f t="shared" si="2"/>
        <v>0.38</v>
      </c>
      <c r="H108" s="5"/>
    </row>
    <row r="109" spans="2:8" ht="15" customHeight="1">
      <c r="B109" s="34" t="s">
        <v>88</v>
      </c>
      <c r="C109" s="290" t="s">
        <v>207</v>
      </c>
      <c r="D109" s="292"/>
      <c r="E109" s="80">
        <v>2.7799999999999999E-3</v>
      </c>
      <c r="F109" s="38">
        <f t="shared" si="2"/>
        <v>4.9800000000000004</v>
      </c>
      <c r="H109" s="5"/>
    </row>
    <row r="110" spans="2:8" ht="15" customHeight="1">
      <c r="B110" s="34" t="s">
        <v>113</v>
      </c>
      <c r="C110" s="290" t="s">
        <v>208</v>
      </c>
      <c r="D110" s="292"/>
      <c r="E110" s="80">
        <v>3.3300000000000001E-3</v>
      </c>
      <c r="F110" s="38">
        <f t="shared" si="2"/>
        <v>5.96</v>
      </c>
      <c r="H110" s="5"/>
    </row>
    <row r="111" spans="2:8" ht="15" customHeight="1">
      <c r="B111" s="102" t="s">
        <v>116</v>
      </c>
      <c r="C111" s="322" t="s">
        <v>126</v>
      </c>
      <c r="D111" s="323"/>
      <c r="E111" s="80">
        <v>0</v>
      </c>
      <c r="F111" s="38">
        <f t="shared" si="2"/>
        <v>0</v>
      </c>
      <c r="H111" s="5"/>
    </row>
    <row r="112" spans="2:8" ht="15" customHeight="1">
      <c r="B112" s="293" t="s">
        <v>183</v>
      </c>
      <c r="C112" s="294"/>
      <c r="D112" s="295"/>
      <c r="E112" s="79">
        <f>SUM(E106:E111)</f>
        <v>0.13131999999999999</v>
      </c>
      <c r="F112" s="73">
        <f>SUM(F106:F111)</f>
        <v>235.16</v>
      </c>
      <c r="H112" s="5"/>
    </row>
    <row r="113" spans="2:8" ht="15" customHeight="1">
      <c r="B113" s="102" t="s">
        <v>122</v>
      </c>
      <c r="C113" s="326" t="s">
        <v>209</v>
      </c>
      <c r="D113" s="327"/>
      <c r="E113" s="78">
        <f>E74*E112</f>
        <v>4.743E-2</v>
      </c>
      <c r="F113" s="76">
        <f>E74*F112</f>
        <v>84.94</v>
      </c>
      <c r="H113" s="5"/>
    </row>
    <row r="114" spans="2:8" ht="15" customHeight="1">
      <c r="B114" s="293" t="s">
        <v>57</v>
      </c>
      <c r="C114" s="294"/>
      <c r="D114" s="295"/>
      <c r="E114" s="79">
        <f>SUM(E112:E113)</f>
        <v>0.17874999999999999</v>
      </c>
      <c r="F114" s="69">
        <f>SUM(F112:F113)</f>
        <v>320.10000000000002</v>
      </c>
      <c r="H114" s="5"/>
    </row>
    <row r="115" spans="2:8" ht="15" customHeight="1">
      <c r="H115" s="5"/>
    </row>
    <row r="116" spans="2:8" ht="15" customHeight="1">
      <c r="B116" s="293" t="s">
        <v>210</v>
      </c>
      <c r="C116" s="295"/>
      <c r="D116" s="293" t="s">
        <v>211</v>
      </c>
      <c r="E116" s="294"/>
      <c r="F116" s="295"/>
      <c r="H116" s="5"/>
    </row>
    <row r="117" spans="2:8" ht="15" customHeight="1">
      <c r="B117" s="101">
        <v>4</v>
      </c>
      <c r="C117" s="324" t="s">
        <v>212</v>
      </c>
      <c r="D117" s="325"/>
      <c r="E117" s="87" t="s">
        <v>166</v>
      </c>
      <c r="F117" s="68" t="s">
        <v>108</v>
      </c>
      <c r="H117" s="5"/>
    </row>
    <row r="118" spans="2:8" ht="15" customHeight="1">
      <c r="B118" s="34" t="s">
        <v>165</v>
      </c>
      <c r="C118" s="290" t="str">
        <f>D64</f>
        <v>Encargos Previdenciários e FGTS</v>
      </c>
      <c r="D118" s="292"/>
      <c r="E118" s="90">
        <f>E74</f>
        <v>0.36120000000000002</v>
      </c>
      <c r="F118" s="38">
        <f>F74</f>
        <v>646.82000000000005</v>
      </c>
      <c r="H118" s="5"/>
    </row>
    <row r="119" spans="2:8" ht="15" customHeight="1">
      <c r="B119" s="34" t="s">
        <v>179</v>
      </c>
      <c r="C119" s="326" t="str">
        <f>D78</f>
        <v>13° Salário e Adicional de Férias</v>
      </c>
      <c r="D119" s="327"/>
      <c r="E119" s="90">
        <f>E84</f>
        <v>0.15124000000000001</v>
      </c>
      <c r="F119" s="38">
        <f>F84</f>
        <v>270.83999999999997</v>
      </c>
      <c r="H119" s="5"/>
    </row>
    <row r="120" spans="2:8" ht="15" customHeight="1">
      <c r="B120" s="34" t="s">
        <v>187</v>
      </c>
      <c r="C120" s="290" t="str">
        <f>D86</f>
        <v>Afastamento Maternidade</v>
      </c>
      <c r="D120" s="292"/>
      <c r="E120" s="90">
        <f>E90</f>
        <v>3.9100000000000003E-3</v>
      </c>
      <c r="F120" s="38">
        <f>F90</f>
        <v>7</v>
      </c>
      <c r="H120" s="5"/>
    </row>
    <row r="121" spans="2:8" ht="15" customHeight="1">
      <c r="B121" s="34" t="s">
        <v>191</v>
      </c>
      <c r="C121" s="290" t="str">
        <f>D92</f>
        <v>Provisão para Rescisão</v>
      </c>
      <c r="D121" s="292"/>
      <c r="E121" s="90">
        <f>E100</f>
        <v>7.0959999999999995E-2</v>
      </c>
      <c r="F121" s="38">
        <f>F100</f>
        <v>127.08</v>
      </c>
      <c r="H121" s="5"/>
    </row>
    <row r="122" spans="2:8" ht="15" customHeight="1">
      <c r="B122" s="34" t="s">
        <v>202</v>
      </c>
      <c r="C122" s="290" t="str">
        <f>D104</f>
        <v>Custo de Reposição do Profissional Ausente</v>
      </c>
      <c r="D122" s="292"/>
      <c r="E122" s="90">
        <f>E114</f>
        <v>0.17874999999999999</v>
      </c>
      <c r="F122" s="38">
        <f>F114</f>
        <v>320.10000000000002</v>
      </c>
      <c r="H122" s="5"/>
    </row>
    <row r="123" spans="2:8" ht="15" customHeight="1">
      <c r="B123" s="102" t="s">
        <v>213</v>
      </c>
      <c r="C123" s="322" t="s">
        <v>126</v>
      </c>
      <c r="D123" s="323"/>
      <c r="E123" s="90">
        <v>0</v>
      </c>
      <c r="F123" s="38">
        <v>0</v>
      </c>
      <c r="H123" s="5"/>
    </row>
    <row r="124" spans="2:8" ht="15" customHeight="1">
      <c r="B124" s="293" t="s">
        <v>57</v>
      </c>
      <c r="C124" s="294"/>
      <c r="D124" s="295"/>
      <c r="E124" s="89">
        <f>SUM(E118:E123)</f>
        <v>0.76605999999999996</v>
      </c>
      <c r="F124" s="69">
        <f>SUM(F118:F123)</f>
        <v>1371.84</v>
      </c>
      <c r="H124" s="5"/>
    </row>
    <row r="125" spans="2:8" ht="15" customHeight="1">
      <c r="H125" s="5"/>
    </row>
    <row r="126" spans="2:8" ht="15" customHeight="1">
      <c r="B126" s="293" t="s">
        <v>214</v>
      </c>
      <c r="C126" s="295"/>
      <c r="D126" s="293" t="s">
        <v>215</v>
      </c>
      <c r="E126" s="294"/>
      <c r="F126" s="295"/>
      <c r="H126" s="5"/>
    </row>
    <row r="127" spans="2:8" ht="15" customHeight="1">
      <c r="B127" s="101">
        <v>5</v>
      </c>
      <c r="C127" s="293" t="s">
        <v>216</v>
      </c>
      <c r="D127" s="295"/>
      <c r="E127" s="87" t="s">
        <v>166</v>
      </c>
      <c r="F127" s="68" t="s">
        <v>108</v>
      </c>
      <c r="H127" s="5"/>
    </row>
    <row r="128" spans="2:8" ht="15" customHeight="1">
      <c r="B128" s="34" t="s">
        <v>78</v>
      </c>
      <c r="C128" s="315" t="s">
        <v>217</v>
      </c>
      <c r="D128" s="316"/>
      <c r="E128" s="84">
        <v>5.0000000000000001E-3</v>
      </c>
      <c r="F128" s="40">
        <f>E128*F148</f>
        <v>18.809999999999999</v>
      </c>
      <c r="H128" s="5"/>
    </row>
    <row r="129" spans="2:8" ht="15" customHeight="1">
      <c r="B129" s="34" t="s">
        <v>83</v>
      </c>
      <c r="C129" s="104" t="s">
        <v>218</v>
      </c>
      <c r="D129" s="104"/>
      <c r="E129" s="84">
        <v>5.0000000000000001E-3</v>
      </c>
      <c r="F129" s="40">
        <f>E129*(F148+F128)</f>
        <v>18.899999999999999</v>
      </c>
      <c r="H129" s="5"/>
    </row>
    <row r="130" spans="2:8" ht="15" customHeight="1">
      <c r="B130" s="303" t="s">
        <v>219</v>
      </c>
      <c r="C130" s="304"/>
      <c r="D130" s="305"/>
      <c r="E130" s="79">
        <f>SUM(E128:E129)</f>
        <v>0.01</v>
      </c>
      <c r="F130" s="69">
        <f>SUM(F128:F129)</f>
        <v>37.71</v>
      </c>
      <c r="H130" s="5"/>
    </row>
    <row r="131" spans="2:8" ht="15" customHeight="1">
      <c r="B131" s="317" t="s">
        <v>86</v>
      </c>
      <c r="C131" s="290" t="s">
        <v>220</v>
      </c>
      <c r="D131" s="291"/>
      <c r="E131" s="291"/>
      <c r="F131" s="292"/>
      <c r="H131" s="5"/>
    </row>
    <row r="132" spans="2:8" ht="15" customHeight="1">
      <c r="B132" s="318"/>
      <c r="C132" s="320" t="s">
        <v>221</v>
      </c>
      <c r="D132" s="42" t="s">
        <v>222</v>
      </c>
      <c r="E132" s="80">
        <v>7.5999999999999998E-2</v>
      </c>
      <c r="F132" s="41">
        <f>(($F$148+$F$128+$F$129)/(1-$E$136))*E132</f>
        <v>336.71</v>
      </c>
      <c r="H132" s="5"/>
    </row>
    <row r="133" spans="2:8" ht="15" customHeight="1">
      <c r="B133" s="318"/>
      <c r="C133" s="321"/>
      <c r="D133" s="42" t="s">
        <v>223</v>
      </c>
      <c r="E133" s="80">
        <v>1.6500000000000001E-2</v>
      </c>
      <c r="F133" s="41">
        <f>(($F$148+$F$128+$F$129)/(1-$E$136))*E133</f>
        <v>73.099999999999994</v>
      </c>
      <c r="H133" s="5"/>
    </row>
    <row r="134" spans="2:8" ht="15" customHeight="1">
      <c r="B134" s="318"/>
      <c r="C134" s="43" t="s">
        <v>224</v>
      </c>
      <c r="D134" s="42" t="s">
        <v>225</v>
      </c>
      <c r="E134" s="80">
        <v>0.05</v>
      </c>
      <c r="F134" s="41">
        <f>(($F$148+$F$128+$F$129)/(1-$E$136))*E134</f>
        <v>221.52</v>
      </c>
      <c r="H134" s="5"/>
    </row>
    <row r="135" spans="2:8" ht="15" customHeight="1">
      <c r="B135" s="319"/>
      <c r="C135" s="43" t="s">
        <v>226</v>
      </c>
      <c r="D135" s="72"/>
      <c r="E135" s="80">
        <v>0</v>
      </c>
      <c r="F135" s="41">
        <f>(($F$148+$F$128+$F$129)/(1-$E$136))*E135</f>
        <v>0</v>
      </c>
      <c r="H135" s="5"/>
    </row>
    <row r="136" spans="2:8" ht="15" customHeight="1">
      <c r="B136" s="303" t="s">
        <v>227</v>
      </c>
      <c r="C136" s="304"/>
      <c r="D136" s="305"/>
      <c r="E136" s="79">
        <f>SUM(E132:E135)</f>
        <v>0.14249999999999999</v>
      </c>
      <c r="F136" s="69">
        <f>SUM(F132:F135)</f>
        <v>631.33000000000004</v>
      </c>
      <c r="H136" s="5"/>
    </row>
    <row r="137" spans="2:8" ht="15" customHeight="1">
      <c r="B137" s="293" t="s">
        <v>57</v>
      </c>
      <c r="C137" s="294"/>
      <c r="D137" s="295"/>
      <c r="E137" s="79">
        <f>E130+E136</f>
        <v>0.1525</v>
      </c>
      <c r="F137" s="71">
        <f>SUM(F136,F130)</f>
        <v>669.04</v>
      </c>
      <c r="H137" s="5"/>
    </row>
    <row r="138" spans="2:8" ht="15" customHeight="1">
      <c r="B138" s="39" t="s">
        <v>145</v>
      </c>
      <c r="C138" s="306" t="s">
        <v>228</v>
      </c>
      <c r="D138" s="307"/>
      <c r="E138" s="307"/>
      <c r="F138" s="308"/>
      <c r="H138" s="5"/>
    </row>
    <row r="139" spans="2:8" ht="15" customHeight="1">
      <c r="B139" s="39" t="s">
        <v>148</v>
      </c>
      <c r="C139" s="306" t="s">
        <v>229</v>
      </c>
      <c r="D139" s="307"/>
      <c r="E139" s="307"/>
      <c r="F139" s="308"/>
      <c r="H139" s="5"/>
    </row>
    <row r="140" spans="2:8" ht="25.5" customHeight="1">
      <c r="B140" s="39" t="s">
        <v>230</v>
      </c>
      <c r="C140" s="309" t="s">
        <v>231</v>
      </c>
      <c r="D140" s="310"/>
      <c r="E140" s="310"/>
      <c r="F140" s="311"/>
      <c r="H140" s="5"/>
    </row>
    <row r="141" spans="2:8" ht="15" customHeight="1">
      <c r="H141" s="5"/>
    </row>
    <row r="142" spans="2:8" ht="15" customHeight="1">
      <c r="B142" s="293" t="s">
        <v>232</v>
      </c>
      <c r="C142" s="294"/>
      <c r="D142" s="294"/>
      <c r="E142" s="294"/>
      <c r="F142" s="295"/>
      <c r="H142" s="5"/>
    </row>
    <row r="143" spans="2:8" ht="15" customHeight="1">
      <c r="B143" s="300" t="s">
        <v>233</v>
      </c>
      <c r="C143" s="301"/>
      <c r="D143" s="301"/>
      <c r="E143" s="302"/>
      <c r="F143" s="65" t="s">
        <v>234</v>
      </c>
      <c r="H143" s="5"/>
    </row>
    <row r="144" spans="2:8" ht="15" customHeight="1">
      <c r="B144" s="34" t="s">
        <v>78</v>
      </c>
      <c r="C144" s="290" t="s">
        <v>235</v>
      </c>
      <c r="D144" s="291"/>
      <c r="E144" s="292"/>
      <c r="F144" s="38">
        <f>F37</f>
        <v>1790.77</v>
      </c>
      <c r="H144" s="5"/>
    </row>
    <row r="145" spans="2:8" ht="15" customHeight="1">
      <c r="B145" s="34" t="s">
        <v>83</v>
      </c>
      <c r="C145" s="290" t="s">
        <v>236</v>
      </c>
      <c r="D145" s="291"/>
      <c r="E145" s="292"/>
      <c r="F145" s="38">
        <f>F47</f>
        <v>239.64</v>
      </c>
      <c r="H145" s="5"/>
    </row>
    <row r="146" spans="2:8" ht="15" customHeight="1">
      <c r="B146" s="34" t="s">
        <v>86</v>
      </c>
      <c r="C146" s="290" t="s">
        <v>237</v>
      </c>
      <c r="D146" s="291"/>
      <c r="E146" s="292"/>
      <c r="F146" s="38">
        <f>F60</f>
        <v>359.11</v>
      </c>
      <c r="H146" s="5"/>
    </row>
    <row r="147" spans="2:8" ht="15" customHeight="1">
      <c r="B147" s="34" t="s">
        <v>88</v>
      </c>
      <c r="C147" s="290" t="s">
        <v>212</v>
      </c>
      <c r="D147" s="291"/>
      <c r="E147" s="292"/>
      <c r="F147" s="38">
        <f>F124</f>
        <v>1371.84</v>
      </c>
      <c r="H147" s="5"/>
    </row>
    <row r="148" spans="2:8" ht="15" customHeight="1">
      <c r="B148" s="293" t="s">
        <v>238</v>
      </c>
      <c r="C148" s="294"/>
      <c r="D148" s="294"/>
      <c r="E148" s="295"/>
      <c r="F148" s="73">
        <f>SUM(F144:F147)</f>
        <v>3761.36</v>
      </c>
      <c r="H148" s="5"/>
    </row>
    <row r="149" spans="2:8" ht="15" customHeight="1">
      <c r="B149" s="34" t="s">
        <v>113</v>
      </c>
      <c r="C149" s="290" t="s">
        <v>239</v>
      </c>
      <c r="D149" s="291"/>
      <c r="E149" s="292"/>
      <c r="F149" s="38">
        <f>F137</f>
        <v>669.04</v>
      </c>
      <c r="H149" s="5"/>
    </row>
    <row r="150" spans="2:8" ht="15" customHeight="1">
      <c r="B150" s="293" t="s">
        <v>240</v>
      </c>
      <c r="C150" s="294"/>
      <c r="D150" s="294"/>
      <c r="E150" s="295"/>
      <c r="F150" s="73">
        <f>SUM(F148:F149)</f>
        <v>4430.3999999999996</v>
      </c>
      <c r="H150" s="5"/>
    </row>
    <row r="151" spans="2:8" ht="15" customHeight="1">
      <c r="B151" s="472" t="s">
        <v>264</v>
      </c>
      <c r="C151" s="472"/>
      <c r="D151" s="472"/>
      <c r="E151" s="472"/>
      <c r="F151" s="110">
        <f>F150*E16</f>
        <v>4430.3999999999996</v>
      </c>
      <c r="H151" s="5"/>
    </row>
    <row r="152" spans="2:8" ht="15" customHeight="1">
      <c r="H152" s="5"/>
    </row>
    <row r="153" spans="2:8" ht="26.25" customHeight="1">
      <c r="B153" s="470" t="s">
        <v>151</v>
      </c>
      <c r="C153" s="470"/>
      <c r="D153" s="111" t="s">
        <v>152</v>
      </c>
      <c r="E153" s="470" t="s">
        <v>251</v>
      </c>
      <c r="F153" s="470"/>
      <c r="G153" s="112"/>
      <c r="H153" s="5"/>
    </row>
    <row r="154" spans="2:8" ht="31.5" customHeight="1">
      <c r="B154" s="470" t="s">
        <v>253</v>
      </c>
      <c r="C154" s="470"/>
      <c r="D154" s="113">
        <v>60</v>
      </c>
      <c r="E154" s="471">
        <f>F151*D154</f>
        <v>265824</v>
      </c>
      <c r="F154" s="471"/>
      <c r="H154" s="5"/>
    </row>
    <row r="155" spans="2:8" ht="35.25" customHeight="1">
      <c r="B155" s="470" t="s">
        <v>263</v>
      </c>
      <c r="C155" s="470"/>
      <c r="D155" s="113">
        <v>12</v>
      </c>
      <c r="E155" s="471">
        <f>F151*D155</f>
        <v>53164.800000000003</v>
      </c>
      <c r="F155" s="471"/>
      <c r="H155" s="5"/>
    </row>
  </sheetData>
  <mergeCells count="150">
    <mergeCell ref="E2:F2"/>
    <mergeCell ref="B3:F3"/>
    <mergeCell ref="B4:F4"/>
    <mergeCell ref="E5:F5"/>
    <mergeCell ref="E6:F6"/>
    <mergeCell ref="B7:F7"/>
    <mergeCell ref="E12:F12"/>
    <mergeCell ref="C13:D13"/>
    <mergeCell ref="E13:F13"/>
    <mergeCell ref="B14:F14"/>
    <mergeCell ref="B15:C15"/>
    <mergeCell ref="E15:F15"/>
    <mergeCell ref="B8:C8"/>
    <mergeCell ref="E8:F8"/>
    <mergeCell ref="B9:F9"/>
    <mergeCell ref="C10:D10"/>
    <mergeCell ref="E10:F10"/>
    <mergeCell ref="C11:D11"/>
    <mergeCell ref="E11:F11"/>
    <mergeCell ref="C22:E22"/>
    <mergeCell ref="C23:E23"/>
    <mergeCell ref="C24:E24"/>
    <mergeCell ref="C25:E25"/>
    <mergeCell ref="C26:F26"/>
    <mergeCell ref="B27:C27"/>
    <mergeCell ref="D27:F27"/>
    <mergeCell ref="B16:C16"/>
    <mergeCell ref="E16:F16"/>
    <mergeCell ref="B18:F18"/>
    <mergeCell ref="B19:F19"/>
    <mergeCell ref="B20:F20"/>
    <mergeCell ref="B21:F21"/>
    <mergeCell ref="C41:E41"/>
    <mergeCell ref="C42:E42"/>
    <mergeCell ref="C43:E43"/>
    <mergeCell ref="C44:E44"/>
    <mergeCell ref="C45:E45"/>
    <mergeCell ref="C46:E46"/>
    <mergeCell ref="C28:E28"/>
    <mergeCell ref="C36:D36"/>
    <mergeCell ref="B37:D37"/>
    <mergeCell ref="B39:C39"/>
    <mergeCell ref="D39:F39"/>
    <mergeCell ref="C40:E40"/>
    <mergeCell ref="C55:E55"/>
    <mergeCell ref="C56:E56"/>
    <mergeCell ref="C57:E57"/>
    <mergeCell ref="C58:E58"/>
    <mergeCell ref="C59:E59"/>
    <mergeCell ref="B60:E60"/>
    <mergeCell ref="B47:E47"/>
    <mergeCell ref="C48:F48"/>
    <mergeCell ref="B49:B52"/>
    <mergeCell ref="C49:F52"/>
    <mergeCell ref="B54:C54"/>
    <mergeCell ref="D54:F54"/>
    <mergeCell ref="C66:D66"/>
    <mergeCell ref="C67:D67"/>
    <mergeCell ref="C68:D68"/>
    <mergeCell ref="C69:D69"/>
    <mergeCell ref="C70:D70"/>
    <mergeCell ref="C71:D71"/>
    <mergeCell ref="C61:F61"/>
    <mergeCell ref="B63:C63"/>
    <mergeCell ref="D63:F63"/>
    <mergeCell ref="B64:C64"/>
    <mergeCell ref="D64:F64"/>
    <mergeCell ref="C65:D65"/>
    <mergeCell ref="C79:D79"/>
    <mergeCell ref="C80:D80"/>
    <mergeCell ref="C81:D81"/>
    <mergeCell ref="B82:D82"/>
    <mergeCell ref="C83:D83"/>
    <mergeCell ref="B84:D84"/>
    <mergeCell ref="C72:D72"/>
    <mergeCell ref="C73:D73"/>
    <mergeCell ref="B74:D74"/>
    <mergeCell ref="C75:F75"/>
    <mergeCell ref="C76:F76"/>
    <mergeCell ref="B78:C78"/>
    <mergeCell ref="D78:F78"/>
    <mergeCell ref="B92:C92"/>
    <mergeCell ref="D92:F92"/>
    <mergeCell ref="C93:D93"/>
    <mergeCell ref="C94:D94"/>
    <mergeCell ref="C95:D95"/>
    <mergeCell ref="C96:D96"/>
    <mergeCell ref="B86:C86"/>
    <mergeCell ref="D86:F86"/>
    <mergeCell ref="C87:D87"/>
    <mergeCell ref="C88:D88"/>
    <mergeCell ref="C89:D89"/>
    <mergeCell ref="B90:D90"/>
    <mergeCell ref="B104:C104"/>
    <mergeCell ref="D104:F104"/>
    <mergeCell ref="C105:D105"/>
    <mergeCell ref="C106:D106"/>
    <mergeCell ref="C107:D107"/>
    <mergeCell ref="C108:D108"/>
    <mergeCell ref="C97:D97"/>
    <mergeCell ref="C98:D98"/>
    <mergeCell ref="C99:D99"/>
    <mergeCell ref="B100:D100"/>
    <mergeCell ref="C101:F101"/>
    <mergeCell ref="C102:F102"/>
    <mergeCell ref="B116:C116"/>
    <mergeCell ref="D116:F116"/>
    <mergeCell ref="C117:D117"/>
    <mergeCell ref="C118:D118"/>
    <mergeCell ref="C119:D119"/>
    <mergeCell ref="C120:D120"/>
    <mergeCell ref="C109:D109"/>
    <mergeCell ref="C110:D110"/>
    <mergeCell ref="C111:D111"/>
    <mergeCell ref="B112:D112"/>
    <mergeCell ref="C113:D113"/>
    <mergeCell ref="B114:D114"/>
    <mergeCell ref="C127:D127"/>
    <mergeCell ref="C128:D128"/>
    <mergeCell ref="B130:D130"/>
    <mergeCell ref="B131:B135"/>
    <mergeCell ref="C131:F131"/>
    <mergeCell ref="C132:C133"/>
    <mergeCell ref="C121:D121"/>
    <mergeCell ref="C122:D122"/>
    <mergeCell ref="C123:D123"/>
    <mergeCell ref="B124:D124"/>
    <mergeCell ref="B126:C126"/>
    <mergeCell ref="D126:F126"/>
    <mergeCell ref="B143:E143"/>
    <mergeCell ref="C144:E144"/>
    <mergeCell ref="C145:E145"/>
    <mergeCell ref="C146:E146"/>
    <mergeCell ref="C147:E147"/>
    <mergeCell ref="B148:E148"/>
    <mergeCell ref="B136:D136"/>
    <mergeCell ref="B137:D137"/>
    <mergeCell ref="C138:F138"/>
    <mergeCell ref="C139:F139"/>
    <mergeCell ref="C140:F140"/>
    <mergeCell ref="B142:F142"/>
    <mergeCell ref="B155:C155"/>
    <mergeCell ref="E155:F155"/>
    <mergeCell ref="C149:E149"/>
    <mergeCell ref="B150:E150"/>
    <mergeCell ref="B151:E151"/>
    <mergeCell ref="B153:C153"/>
    <mergeCell ref="E153:F153"/>
    <mergeCell ref="B154:C154"/>
    <mergeCell ref="E154:F154"/>
  </mergeCells>
  <pageMargins left="0.51181102362204722" right="0.51181102362204722" top="0.78740157480314965" bottom="0.78740157480314965" header="0.31496062992125984" footer="0.31496062992125984"/>
  <pageSetup paperSize="9" scale="75" orientation="portrait" r:id="rId1"/>
  <rowBreaks count="1" manualBreakCount="1">
    <brk id="90" max="16383" man="1"/>
  </rowBreaks>
  <colBreaks count="1" manualBreakCount="1">
    <brk id="7" max="1048575" man="1"/>
  </colBreaks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'#listas#'!$E$1:$E$22</xm:f>
          </x14:formula1>
          <xm:sqref>C2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FF00"/>
  </sheetPr>
  <dimension ref="B1:H155"/>
  <sheetViews>
    <sheetView showGridLines="0" view="pageBreakPreview" topLeftCell="A43" zoomScaleNormal="115" zoomScaleSheetLayoutView="100" workbookViewId="0">
      <selection activeCell="C49" sqref="C49:F52"/>
    </sheetView>
  </sheetViews>
  <sheetFormatPr defaultColWidth="9.140625" defaultRowHeight="15" customHeight="1"/>
  <cols>
    <col min="1" max="1" width="4.42578125" style="5" customWidth="1"/>
    <col min="2" max="2" width="12.85546875" style="44" customWidth="1"/>
    <col min="3" max="3" width="43.42578125" style="44" customWidth="1"/>
    <col min="4" max="4" width="18.85546875" style="44" bestFit="1" customWidth="1"/>
    <col min="5" max="5" width="10.140625" style="85" bestFit="1" customWidth="1"/>
    <col min="6" max="6" width="11.7109375" style="45" customWidth="1"/>
    <col min="7" max="7" width="3.28515625" style="5" customWidth="1"/>
    <col min="8" max="8" width="12.140625" style="52" customWidth="1"/>
    <col min="9" max="16384" width="9.140625" style="5"/>
  </cols>
  <sheetData>
    <row r="1" spans="2:8" ht="15" customHeight="1">
      <c r="H1" s="47"/>
    </row>
    <row r="2" spans="2:8" s="49" customFormat="1" ht="15" customHeight="1">
      <c r="B2" s="8" t="s">
        <v>55</v>
      </c>
      <c r="C2" s="50" t="s">
        <v>21</v>
      </c>
      <c r="D2" s="8" t="s">
        <v>59</v>
      </c>
      <c r="E2" s="462"/>
      <c r="F2" s="462"/>
      <c r="H2" s="51"/>
    </row>
    <row r="3" spans="2:8" ht="21">
      <c r="B3" s="466" t="s">
        <v>290</v>
      </c>
      <c r="C3" s="466"/>
      <c r="D3" s="466"/>
      <c r="E3" s="466"/>
      <c r="F3" s="466"/>
    </row>
    <row r="4" spans="2:8" ht="15" customHeight="1">
      <c r="B4" s="362" t="s">
        <v>60</v>
      </c>
      <c r="C4" s="362"/>
      <c r="D4" s="362"/>
      <c r="E4" s="362"/>
      <c r="F4" s="362"/>
    </row>
    <row r="5" spans="2:8" ht="15" customHeight="1">
      <c r="B5" s="34" t="s">
        <v>62</v>
      </c>
      <c r="C5" s="30"/>
      <c r="D5" s="103" t="s">
        <v>63</v>
      </c>
      <c r="E5" s="468"/>
      <c r="F5" s="468"/>
    </row>
    <row r="6" spans="2:8" ht="15" customHeight="1">
      <c r="B6" s="34" t="s">
        <v>65</v>
      </c>
      <c r="C6" s="31"/>
      <c r="D6" s="34" t="s">
        <v>66</v>
      </c>
      <c r="E6" s="468"/>
      <c r="F6" s="468"/>
    </row>
    <row r="7" spans="2:8" ht="15" customHeight="1">
      <c r="B7" s="362" t="s">
        <v>67</v>
      </c>
      <c r="C7" s="362"/>
      <c r="D7" s="362"/>
      <c r="E7" s="362"/>
      <c r="F7" s="362"/>
    </row>
    <row r="8" spans="2:8" ht="15" customHeight="1">
      <c r="B8" s="459" t="s">
        <v>69</v>
      </c>
      <c r="C8" s="460"/>
      <c r="D8" s="34" t="s">
        <v>70</v>
      </c>
      <c r="E8" s="354"/>
      <c r="F8" s="355"/>
    </row>
    <row r="9" spans="2:8" ht="15" customHeight="1">
      <c r="B9" s="362" t="s">
        <v>75</v>
      </c>
      <c r="C9" s="362"/>
      <c r="D9" s="362"/>
      <c r="E9" s="362"/>
      <c r="F9" s="362"/>
    </row>
    <row r="10" spans="2:8" ht="15" customHeight="1">
      <c r="B10" s="34" t="s">
        <v>78</v>
      </c>
      <c r="C10" s="290" t="s">
        <v>79</v>
      </c>
      <c r="D10" s="291"/>
      <c r="E10" s="461"/>
      <c r="F10" s="461"/>
    </row>
    <row r="11" spans="2:8" ht="15" customHeight="1">
      <c r="B11" s="34" t="s">
        <v>83</v>
      </c>
      <c r="C11" s="290" t="s">
        <v>84</v>
      </c>
      <c r="D11" s="291"/>
      <c r="E11" s="300" t="s">
        <v>85</v>
      </c>
      <c r="F11" s="302"/>
    </row>
    <row r="12" spans="2:8" ht="15" customHeight="1">
      <c r="B12" s="34" t="s">
        <v>86</v>
      </c>
      <c r="C12" s="53" t="s">
        <v>87</v>
      </c>
      <c r="D12" s="54"/>
      <c r="E12" s="300" t="str">
        <f>ENCANADOR!E12</f>
        <v>RN000112/2018 SINDLIMP</v>
      </c>
      <c r="F12" s="302"/>
    </row>
    <row r="13" spans="2:8" ht="15" customHeight="1">
      <c r="B13" s="34" t="s">
        <v>88</v>
      </c>
      <c r="C13" s="322" t="s">
        <v>89</v>
      </c>
      <c r="D13" s="328"/>
      <c r="E13" s="300">
        <v>12</v>
      </c>
      <c r="F13" s="302"/>
    </row>
    <row r="14" spans="2:8" ht="15" customHeight="1">
      <c r="B14" s="362" t="s">
        <v>90</v>
      </c>
      <c r="C14" s="362"/>
      <c r="D14" s="362"/>
      <c r="E14" s="362"/>
      <c r="F14" s="362"/>
    </row>
    <row r="15" spans="2:8" ht="15" customHeight="1">
      <c r="B15" s="451" t="s">
        <v>91</v>
      </c>
      <c r="C15" s="451"/>
      <c r="D15" s="32" t="s">
        <v>92</v>
      </c>
      <c r="E15" s="452" t="s">
        <v>243</v>
      </c>
      <c r="F15" s="453"/>
    </row>
    <row r="16" spans="2:8" ht="15" customHeight="1">
      <c r="B16" s="469" t="s">
        <v>266</v>
      </c>
      <c r="C16" s="469"/>
      <c r="D16" s="9" t="s">
        <v>95</v>
      </c>
      <c r="E16" s="456">
        <v>1</v>
      </c>
      <c r="F16" s="456"/>
      <c r="H16" s="5"/>
    </row>
    <row r="17" spans="2:8" ht="15" customHeight="1">
      <c r="H17" s="5"/>
    </row>
    <row r="18" spans="2:8" ht="12.75" customHeight="1">
      <c r="B18" s="450"/>
      <c r="C18" s="450"/>
      <c r="D18" s="450"/>
      <c r="E18" s="450"/>
      <c r="F18" s="450"/>
      <c r="H18" s="5"/>
    </row>
    <row r="19" spans="2:8" ht="15" customHeight="1">
      <c r="B19" s="362" t="s">
        <v>71</v>
      </c>
      <c r="C19" s="362"/>
      <c r="D19" s="362"/>
      <c r="E19" s="362"/>
      <c r="F19" s="362"/>
      <c r="H19" s="5"/>
    </row>
    <row r="20" spans="2:8" ht="15" customHeight="1">
      <c r="B20" s="362" t="s">
        <v>96</v>
      </c>
      <c r="C20" s="362"/>
      <c r="D20" s="362"/>
      <c r="E20" s="362"/>
      <c r="F20" s="362"/>
      <c r="H20" s="5"/>
    </row>
    <row r="21" spans="2:8" ht="15" customHeight="1">
      <c r="B21" s="437" t="s">
        <v>98</v>
      </c>
      <c r="C21" s="437"/>
      <c r="D21" s="437"/>
      <c r="E21" s="437"/>
      <c r="F21" s="437"/>
      <c r="H21" s="5"/>
    </row>
    <row r="22" spans="2:8" ht="15" customHeight="1">
      <c r="B22" s="34">
        <v>1</v>
      </c>
      <c r="C22" s="449" t="s">
        <v>99</v>
      </c>
      <c r="D22" s="449"/>
      <c r="E22" s="449"/>
      <c r="F22" s="56"/>
      <c r="H22" s="5"/>
    </row>
    <row r="23" spans="2:8" ht="15" customHeight="1">
      <c r="B23" s="34">
        <v>2</v>
      </c>
      <c r="C23" s="437" t="s">
        <v>100</v>
      </c>
      <c r="D23" s="437"/>
      <c r="E23" s="437"/>
      <c r="F23" s="57">
        <v>1492.31</v>
      </c>
      <c r="H23" s="5"/>
    </row>
    <row r="24" spans="2:8" ht="15" customHeight="1">
      <c r="B24" s="34">
        <v>3</v>
      </c>
      <c r="C24" s="437" t="s">
        <v>101</v>
      </c>
      <c r="D24" s="437"/>
      <c r="E24" s="437"/>
      <c r="F24" s="56"/>
      <c r="H24" s="5"/>
    </row>
    <row r="25" spans="2:8" ht="15" customHeight="1">
      <c r="B25" s="34">
        <v>4</v>
      </c>
      <c r="C25" s="437" t="s">
        <v>102</v>
      </c>
      <c r="D25" s="437"/>
      <c r="E25" s="437"/>
      <c r="F25" s="58">
        <f>JARDINEIRO!F25</f>
        <v>43101</v>
      </c>
      <c r="H25" s="5"/>
    </row>
    <row r="26" spans="2:8" ht="15" customHeight="1">
      <c r="B26" s="37" t="s">
        <v>103</v>
      </c>
      <c r="C26" s="438" t="s">
        <v>104</v>
      </c>
      <c r="D26" s="438"/>
      <c r="E26" s="438"/>
      <c r="F26" s="438"/>
      <c r="H26" s="5"/>
    </row>
    <row r="27" spans="2:8" ht="15" customHeight="1">
      <c r="B27" s="362" t="s">
        <v>105</v>
      </c>
      <c r="C27" s="362"/>
      <c r="D27" s="362" t="s">
        <v>106</v>
      </c>
      <c r="E27" s="362"/>
      <c r="F27" s="362"/>
      <c r="H27" s="5"/>
    </row>
    <row r="28" spans="2:8" ht="15" customHeight="1">
      <c r="B28" s="101">
        <v>1</v>
      </c>
      <c r="C28" s="362" t="s">
        <v>107</v>
      </c>
      <c r="D28" s="362"/>
      <c r="E28" s="362"/>
      <c r="F28" s="68" t="s">
        <v>108</v>
      </c>
      <c r="H28" s="5"/>
    </row>
    <row r="29" spans="2:8" ht="15" customHeight="1">
      <c r="B29" s="34" t="s">
        <v>78</v>
      </c>
      <c r="C29" s="59" t="s">
        <v>109</v>
      </c>
      <c r="D29" s="60"/>
      <c r="E29" s="80"/>
      <c r="F29" s="61">
        <f>F23</f>
        <v>1492.31</v>
      </c>
      <c r="H29" s="5"/>
    </row>
    <row r="30" spans="2:8" ht="15" customHeight="1">
      <c r="B30" s="34" t="s">
        <v>83</v>
      </c>
      <c r="C30" s="59" t="s">
        <v>110</v>
      </c>
      <c r="D30" s="60"/>
      <c r="E30" s="80">
        <v>0.3</v>
      </c>
      <c r="F30" s="61">
        <f>$F$29*E30</f>
        <v>447.69</v>
      </c>
      <c r="H30" s="5"/>
    </row>
    <row r="31" spans="2:8" ht="15" customHeight="1">
      <c r="B31" s="34" t="s">
        <v>86</v>
      </c>
      <c r="C31" s="59" t="s">
        <v>111</v>
      </c>
      <c r="D31" s="60"/>
      <c r="E31" s="81"/>
      <c r="F31" s="61">
        <f t="shared" ref="F31:F36" si="0">$F$29*E31</f>
        <v>0</v>
      </c>
      <c r="H31" s="5"/>
    </row>
    <row r="32" spans="2:8" ht="15" customHeight="1">
      <c r="B32" s="34" t="s">
        <v>88</v>
      </c>
      <c r="C32" s="59" t="s">
        <v>112</v>
      </c>
      <c r="D32" s="60"/>
      <c r="E32" s="80"/>
      <c r="F32" s="61">
        <f t="shared" si="0"/>
        <v>0</v>
      </c>
      <c r="H32" s="5"/>
    </row>
    <row r="33" spans="2:8" ht="15" customHeight="1">
      <c r="B33" s="34" t="s">
        <v>113</v>
      </c>
      <c r="C33" s="59" t="s">
        <v>114</v>
      </c>
      <c r="D33" s="60"/>
      <c r="E33" s="80"/>
      <c r="F33" s="61">
        <f t="shared" si="0"/>
        <v>0</v>
      </c>
      <c r="H33" s="5"/>
    </row>
    <row r="34" spans="2:8" ht="15" customHeight="1">
      <c r="B34" s="34" t="s">
        <v>116</v>
      </c>
      <c r="C34" s="59" t="s">
        <v>117</v>
      </c>
      <c r="D34" s="60"/>
      <c r="E34" s="80"/>
      <c r="F34" s="61">
        <f t="shared" si="0"/>
        <v>0</v>
      </c>
      <c r="H34" s="5"/>
    </row>
    <row r="35" spans="2:8" ht="15" customHeight="1">
      <c r="B35" s="34" t="s">
        <v>122</v>
      </c>
      <c r="C35" s="59" t="s">
        <v>123</v>
      </c>
      <c r="D35" s="60"/>
      <c r="E35" s="80"/>
      <c r="F35" s="61">
        <f t="shared" si="0"/>
        <v>0</v>
      </c>
      <c r="H35" s="5"/>
    </row>
    <row r="36" spans="2:8" ht="15" customHeight="1">
      <c r="B36" s="102" t="s">
        <v>125</v>
      </c>
      <c r="C36" s="290" t="s">
        <v>126</v>
      </c>
      <c r="D36" s="292"/>
      <c r="E36" s="81"/>
      <c r="F36" s="61">
        <f t="shared" si="0"/>
        <v>0</v>
      </c>
      <c r="H36" s="5"/>
    </row>
    <row r="37" spans="2:8" ht="15" customHeight="1">
      <c r="B37" s="293" t="s">
        <v>128</v>
      </c>
      <c r="C37" s="294"/>
      <c r="D37" s="295"/>
      <c r="E37" s="86">
        <f>SUM(E30:E36)</f>
        <v>0.3</v>
      </c>
      <c r="F37" s="69">
        <f>SUM(F29:F36)</f>
        <v>1940</v>
      </c>
      <c r="H37" s="5"/>
    </row>
    <row r="38" spans="2:8" ht="15" customHeight="1">
      <c r="H38" s="5"/>
    </row>
    <row r="39" spans="2:8" ht="15" customHeight="1">
      <c r="B39" s="362" t="s">
        <v>130</v>
      </c>
      <c r="C39" s="362"/>
      <c r="D39" s="362" t="s">
        <v>131</v>
      </c>
      <c r="E39" s="362"/>
      <c r="F39" s="362"/>
      <c r="H39" s="5"/>
    </row>
    <row r="40" spans="2:8" ht="15" customHeight="1">
      <c r="B40" s="101">
        <v>2</v>
      </c>
      <c r="C40" s="362" t="s">
        <v>132</v>
      </c>
      <c r="D40" s="362"/>
      <c r="E40" s="362"/>
      <c r="F40" s="68" t="s">
        <v>108</v>
      </c>
      <c r="H40" s="5"/>
    </row>
    <row r="41" spans="2:8" ht="15" customHeight="1">
      <c r="B41" s="102" t="s">
        <v>78</v>
      </c>
      <c r="C41" s="290" t="s">
        <v>133</v>
      </c>
      <c r="D41" s="291"/>
      <c r="E41" s="292"/>
      <c r="F41" s="33">
        <f>(2*2*26)-(F29*0.06)</f>
        <v>14.46</v>
      </c>
      <c r="H41" s="5"/>
    </row>
    <row r="42" spans="2:8" ht="15" customHeight="1">
      <c r="B42" s="102" t="s">
        <v>83</v>
      </c>
      <c r="C42" s="393" t="s">
        <v>134</v>
      </c>
      <c r="D42" s="393"/>
      <c r="E42" s="393"/>
      <c r="F42" s="33">
        <f>ENCANADOR!F42</f>
        <v>116.18</v>
      </c>
      <c r="H42" s="5"/>
    </row>
    <row r="43" spans="2:8" ht="15" customHeight="1">
      <c r="B43" s="34" t="s">
        <v>86</v>
      </c>
      <c r="C43" s="382" t="s">
        <v>135</v>
      </c>
      <c r="D43" s="382"/>
      <c r="E43" s="382"/>
      <c r="F43" s="33">
        <f>ENCANADOR!F43</f>
        <v>90</v>
      </c>
      <c r="H43" s="5"/>
    </row>
    <row r="44" spans="2:8" ht="15" customHeight="1">
      <c r="B44" s="34" t="s">
        <v>88</v>
      </c>
      <c r="C44" s="382" t="s">
        <v>136</v>
      </c>
      <c r="D44" s="382"/>
      <c r="E44" s="382"/>
      <c r="F44" s="33">
        <f>ENCANADOR!F44</f>
        <v>10</v>
      </c>
      <c r="H44" s="5"/>
    </row>
    <row r="45" spans="2:8" ht="15" customHeight="1">
      <c r="B45" s="34" t="s">
        <v>113</v>
      </c>
      <c r="C45" s="382" t="s">
        <v>138</v>
      </c>
      <c r="D45" s="382"/>
      <c r="E45" s="382"/>
      <c r="F45" s="33">
        <f>ENCANADOR!F45</f>
        <v>9</v>
      </c>
      <c r="H45" s="5"/>
    </row>
    <row r="46" spans="2:8" ht="15" customHeight="1">
      <c r="B46" s="102" t="s">
        <v>116</v>
      </c>
      <c r="C46" s="382" t="s">
        <v>258</v>
      </c>
      <c r="D46" s="382"/>
      <c r="E46" s="382"/>
      <c r="F46" s="33">
        <f>ENCANADOR!F46</f>
        <v>0</v>
      </c>
      <c r="H46" s="5"/>
    </row>
    <row r="47" spans="2:8" ht="15" customHeight="1">
      <c r="B47" s="362" t="s">
        <v>143</v>
      </c>
      <c r="C47" s="362"/>
      <c r="D47" s="362"/>
      <c r="E47" s="362"/>
      <c r="F47" s="69">
        <f>SUM(F41:F46)</f>
        <v>239.64</v>
      </c>
      <c r="H47" s="5"/>
    </row>
    <row r="48" spans="2:8" ht="27.75" customHeight="1">
      <c r="B48" s="34" t="s">
        <v>145</v>
      </c>
      <c r="C48" s="309" t="s">
        <v>146</v>
      </c>
      <c r="D48" s="310"/>
      <c r="E48" s="310"/>
      <c r="F48" s="311"/>
      <c r="H48" s="5"/>
    </row>
    <row r="49" spans="2:8" ht="35.25" customHeight="1">
      <c r="B49" s="317" t="s">
        <v>148</v>
      </c>
      <c r="C49" s="373" t="s">
        <v>149</v>
      </c>
      <c r="D49" s="374"/>
      <c r="E49" s="374"/>
      <c r="F49" s="375"/>
      <c r="H49" s="5"/>
    </row>
    <row r="50" spans="2:8" ht="11.25" customHeight="1">
      <c r="B50" s="318"/>
      <c r="C50" s="376"/>
      <c r="D50" s="377"/>
      <c r="E50" s="377"/>
      <c r="F50" s="378"/>
      <c r="H50" s="5"/>
    </row>
    <row r="51" spans="2:8" ht="21.75" customHeight="1">
      <c r="B51" s="318"/>
      <c r="C51" s="376"/>
      <c r="D51" s="377"/>
      <c r="E51" s="377"/>
      <c r="F51" s="378"/>
      <c r="H51" s="5"/>
    </row>
    <row r="52" spans="2:8" ht="20.25" customHeight="1">
      <c r="B52" s="319"/>
      <c r="C52" s="379"/>
      <c r="D52" s="380"/>
      <c r="E52" s="380"/>
      <c r="F52" s="381"/>
      <c r="H52" s="5"/>
    </row>
    <row r="53" spans="2:8" ht="15" customHeight="1">
      <c r="H53" s="5"/>
    </row>
    <row r="54" spans="2:8" ht="15" customHeight="1">
      <c r="B54" s="293" t="s">
        <v>153</v>
      </c>
      <c r="C54" s="295"/>
      <c r="D54" s="293" t="s">
        <v>154</v>
      </c>
      <c r="E54" s="294"/>
      <c r="F54" s="295"/>
      <c r="H54" s="5"/>
    </row>
    <row r="55" spans="2:8" ht="15" customHeight="1">
      <c r="B55" s="101">
        <v>3</v>
      </c>
      <c r="C55" s="293" t="s">
        <v>155</v>
      </c>
      <c r="D55" s="294"/>
      <c r="E55" s="295"/>
      <c r="F55" s="68" t="s">
        <v>108</v>
      </c>
      <c r="H55" s="5"/>
    </row>
    <row r="56" spans="2:8" ht="15" customHeight="1">
      <c r="B56" s="34" t="s">
        <v>78</v>
      </c>
      <c r="C56" s="290" t="s">
        <v>156</v>
      </c>
      <c r="D56" s="291"/>
      <c r="E56" s="292"/>
      <c r="F56" s="35">
        <v>12</v>
      </c>
      <c r="H56" s="5"/>
    </row>
    <row r="57" spans="2:8" ht="15" customHeight="1">
      <c r="B57" s="34" t="s">
        <v>83</v>
      </c>
      <c r="C57" s="290" t="s">
        <v>157</v>
      </c>
      <c r="D57" s="291"/>
      <c r="E57" s="292"/>
      <c r="F57" s="35">
        <v>173.19</v>
      </c>
      <c r="H57" s="5"/>
    </row>
    <row r="58" spans="2:8" ht="15" customHeight="1">
      <c r="B58" s="34" t="s">
        <v>86</v>
      </c>
      <c r="C58" s="290" t="s">
        <v>158</v>
      </c>
      <c r="D58" s="291"/>
      <c r="E58" s="292"/>
      <c r="F58" s="35">
        <v>0</v>
      </c>
      <c r="H58" s="5"/>
    </row>
    <row r="59" spans="2:8" ht="15" customHeight="1">
      <c r="B59" s="102" t="s">
        <v>88</v>
      </c>
      <c r="C59" s="322" t="s">
        <v>259</v>
      </c>
      <c r="D59" s="328"/>
      <c r="E59" s="323"/>
      <c r="F59" s="36">
        <f>F58*-0.8</f>
        <v>0</v>
      </c>
      <c r="H59" s="5"/>
    </row>
    <row r="60" spans="2:8" ht="15" customHeight="1">
      <c r="B60" s="293" t="s">
        <v>159</v>
      </c>
      <c r="C60" s="294"/>
      <c r="D60" s="294"/>
      <c r="E60" s="295"/>
      <c r="F60" s="69">
        <f>SUM(F56:F59)</f>
        <v>185.19</v>
      </c>
      <c r="H60" s="5"/>
    </row>
    <row r="61" spans="2:8" ht="15" customHeight="1">
      <c r="B61" s="37" t="s">
        <v>103</v>
      </c>
      <c r="C61" s="306" t="s">
        <v>160</v>
      </c>
      <c r="D61" s="307"/>
      <c r="E61" s="307"/>
      <c r="F61" s="308"/>
      <c r="H61" s="5"/>
    </row>
    <row r="62" spans="2:8" ht="15" customHeight="1">
      <c r="H62" s="5"/>
    </row>
    <row r="63" spans="2:8" ht="15" customHeight="1">
      <c r="B63" s="293" t="s">
        <v>161</v>
      </c>
      <c r="C63" s="295"/>
      <c r="D63" s="293" t="s">
        <v>162</v>
      </c>
      <c r="E63" s="294"/>
      <c r="F63" s="295"/>
      <c r="H63" s="5"/>
    </row>
    <row r="64" spans="2:8" ht="15" customHeight="1">
      <c r="B64" s="293" t="s">
        <v>163</v>
      </c>
      <c r="C64" s="295"/>
      <c r="D64" s="293" t="s">
        <v>164</v>
      </c>
      <c r="E64" s="294"/>
      <c r="F64" s="295"/>
      <c r="H64" s="5"/>
    </row>
    <row r="65" spans="2:8" ht="15" customHeight="1">
      <c r="B65" s="101" t="s">
        <v>165</v>
      </c>
      <c r="C65" s="293" t="s">
        <v>164</v>
      </c>
      <c r="D65" s="295"/>
      <c r="E65" s="87" t="s">
        <v>166</v>
      </c>
      <c r="F65" s="68" t="s">
        <v>108</v>
      </c>
      <c r="H65" s="5"/>
    </row>
    <row r="66" spans="2:8" ht="15" customHeight="1">
      <c r="B66" s="34" t="s">
        <v>78</v>
      </c>
      <c r="C66" s="290" t="s">
        <v>167</v>
      </c>
      <c r="D66" s="292"/>
      <c r="E66" s="80">
        <v>0.2</v>
      </c>
      <c r="F66" s="38">
        <f>E66*$F$37</f>
        <v>388</v>
      </c>
      <c r="H66" s="5"/>
    </row>
    <row r="67" spans="2:8" ht="15" customHeight="1">
      <c r="B67" s="34" t="s">
        <v>83</v>
      </c>
      <c r="C67" s="290" t="s">
        <v>168</v>
      </c>
      <c r="D67" s="292"/>
      <c r="E67" s="80">
        <v>1.4999999999999999E-2</v>
      </c>
      <c r="F67" s="38">
        <f t="shared" ref="F67:F73" si="1">E67*$F$37</f>
        <v>29.1</v>
      </c>
      <c r="H67" s="5"/>
    </row>
    <row r="68" spans="2:8" ht="15" customHeight="1">
      <c r="B68" s="34" t="s">
        <v>86</v>
      </c>
      <c r="C68" s="290" t="s">
        <v>169</v>
      </c>
      <c r="D68" s="292"/>
      <c r="E68" s="80">
        <v>0.01</v>
      </c>
      <c r="F68" s="38">
        <f t="shared" si="1"/>
        <v>19.399999999999999</v>
      </c>
      <c r="H68" s="5"/>
    </row>
    <row r="69" spans="2:8" ht="15" customHeight="1">
      <c r="B69" s="34" t="s">
        <v>88</v>
      </c>
      <c r="C69" s="290" t="s">
        <v>170</v>
      </c>
      <c r="D69" s="292"/>
      <c r="E69" s="80">
        <v>2E-3</v>
      </c>
      <c r="F69" s="38">
        <f t="shared" si="1"/>
        <v>3.88</v>
      </c>
      <c r="H69" s="5"/>
    </row>
    <row r="70" spans="2:8" ht="15" customHeight="1">
      <c r="B70" s="34" t="s">
        <v>113</v>
      </c>
      <c r="C70" s="290" t="s">
        <v>171</v>
      </c>
      <c r="D70" s="292"/>
      <c r="E70" s="80">
        <v>2.5000000000000001E-2</v>
      </c>
      <c r="F70" s="38">
        <f t="shared" si="1"/>
        <v>48.5</v>
      </c>
      <c r="H70" s="5"/>
    </row>
    <row r="71" spans="2:8" ht="15" customHeight="1">
      <c r="B71" s="34" t="s">
        <v>116</v>
      </c>
      <c r="C71" s="290" t="s">
        <v>172</v>
      </c>
      <c r="D71" s="292"/>
      <c r="E71" s="80">
        <v>0.08</v>
      </c>
      <c r="F71" s="38">
        <f t="shared" si="1"/>
        <v>155.19999999999999</v>
      </c>
      <c r="H71" s="5"/>
    </row>
    <row r="72" spans="2:8" ht="15" customHeight="1">
      <c r="B72" s="34" t="s">
        <v>122</v>
      </c>
      <c r="C72" s="290" t="s">
        <v>261</v>
      </c>
      <c r="D72" s="292"/>
      <c r="E72" s="80">
        <v>2.3199999999999998E-2</v>
      </c>
      <c r="F72" s="38">
        <f t="shared" si="1"/>
        <v>45.01</v>
      </c>
      <c r="H72" s="5"/>
    </row>
    <row r="73" spans="2:8" ht="15" customHeight="1">
      <c r="B73" s="34" t="s">
        <v>125</v>
      </c>
      <c r="C73" s="290" t="s">
        <v>174</v>
      </c>
      <c r="D73" s="292"/>
      <c r="E73" s="80">
        <v>6.0000000000000001E-3</v>
      </c>
      <c r="F73" s="38">
        <f t="shared" si="1"/>
        <v>11.64</v>
      </c>
      <c r="H73" s="5"/>
    </row>
    <row r="74" spans="2:8" ht="15" customHeight="1">
      <c r="B74" s="293" t="s">
        <v>57</v>
      </c>
      <c r="C74" s="294"/>
      <c r="D74" s="295"/>
      <c r="E74" s="79">
        <f>SUM(E66:E73)</f>
        <v>0.36120000000000002</v>
      </c>
      <c r="F74" s="69">
        <f>SUM(F66:F73)</f>
        <v>700.73</v>
      </c>
      <c r="H74" s="5"/>
    </row>
    <row r="75" spans="2:8" ht="15" customHeight="1">
      <c r="B75" s="39" t="s">
        <v>145</v>
      </c>
      <c r="C75" s="309" t="s">
        <v>175</v>
      </c>
      <c r="D75" s="310"/>
      <c r="E75" s="310"/>
      <c r="F75" s="311"/>
      <c r="H75" s="5"/>
    </row>
    <row r="76" spans="2:8" ht="15" customHeight="1">
      <c r="B76" s="39" t="s">
        <v>148</v>
      </c>
      <c r="C76" s="331" t="s">
        <v>176</v>
      </c>
      <c r="D76" s="332"/>
      <c r="E76" s="332"/>
      <c r="F76" s="333"/>
      <c r="H76" s="5"/>
    </row>
    <row r="77" spans="2:8" ht="15" customHeight="1">
      <c r="H77" s="5"/>
    </row>
    <row r="78" spans="2:8" ht="15" customHeight="1">
      <c r="B78" s="293" t="s">
        <v>177</v>
      </c>
      <c r="C78" s="295"/>
      <c r="D78" s="293" t="s">
        <v>178</v>
      </c>
      <c r="E78" s="294"/>
      <c r="F78" s="295"/>
      <c r="H78" s="5"/>
    </row>
    <row r="79" spans="2:8" ht="15" customHeight="1">
      <c r="B79" s="101" t="s">
        <v>179</v>
      </c>
      <c r="C79" s="293" t="s">
        <v>180</v>
      </c>
      <c r="D79" s="295"/>
      <c r="E79" s="87" t="s">
        <v>166</v>
      </c>
      <c r="F79" s="68" t="s">
        <v>108</v>
      </c>
      <c r="H79" s="5"/>
    </row>
    <row r="80" spans="2:8" ht="15" customHeight="1">
      <c r="B80" s="34" t="s">
        <v>78</v>
      </c>
      <c r="C80" s="290" t="s">
        <v>181</v>
      </c>
      <c r="D80" s="292"/>
      <c r="E80" s="80">
        <v>8.3330000000000001E-2</v>
      </c>
      <c r="F80" s="38">
        <f t="shared" ref="F80:F81" si="2">E80*$F$37</f>
        <v>161.66</v>
      </c>
      <c r="H80" s="5"/>
    </row>
    <row r="81" spans="2:8" ht="15" customHeight="1">
      <c r="B81" s="64" t="s">
        <v>83</v>
      </c>
      <c r="C81" s="329" t="s">
        <v>182</v>
      </c>
      <c r="D81" s="330"/>
      <c r="E81" s="82">
        <v>2.7779999999999999E-2</v>
      </c>
      <c r="F81" s="38">
        <f t="shared" si="2"/>
        <v>53.89</v>
      </c>
      <c r="H81" s="5"/>
    </row>
    <row r="82" spans="2:8" ht="15" customHeight="1">
      <c r="B82" s="293" t="s">
        <v>183</v>
      </c>
      <c r="C82" s="294"/>
      <c r="D82" s="295"/>
      <c r="E82" s="83">
        <f>SUM(E80:E81)</f>
        <v>0.11111</v>
      </c>
      <c r="F82" s="70">
        <f>SUM(F80:F81)</f>
        <v>215.55</v>
      </c>
      <c r="H82" s="5"/>
    </row>
    <row r="83" spans="2:8" s="63" customFormat="1" ht="15" customHeight="1">
      <c r="B83" s="102" t="s">
        <v>86</v>
      </c>
      <c r="C83" s="322" t="s">
        <v>184</v>
      </c>
      <c r="D83" s="323"/>
      <c r="E83" s="88">
        <f>E74*E82</f>
        <v>4.0129999999999999E-2</v>
      </c>
      <c r="F83" s="94">
        <f>F82*E74</f>
        <v>77.86</v>
      </c>
    </row>
    <row r="84" spans="2:8" ht="15" customHeight="1">
      <c r="B84" s="293" t="s">
        <v>57</v>
      </c>
      <c r="C84" s="294"/>
      <c r="D84" s="295"/>
      <c r="E84" s="79">
        <f>SUM(E82:E83)</f>
        <v>0.15124000000000001</v>
      </c>
      <c r="F84" s="71">
        <f>SUM(F82:F83)</f>
        <v>293.41000000000003</v>
      </c>
      <c r="H84" s="5"/>
    </row>
    <row r="85" spans="2:8" ht="15" customHeight="1">
      <c r="H85" s="5"/>
    </row>
    <row r="86" spans="2:8" ht="15" customHeight="1">
      <c r="B86" s="293" t="s">
        <v>185</v>
      </c>
      <c r="C86" s="295"/>
      <c r="D86" s="293" t="s">
        <v>186</v>
      </c>
      <c r="E86" s="294"/>
      <c r="F86" s="295"/>
      <c r="H86" s="5"/>
    </row>
    <row r="87" spans="2:8" ht="15" customHeight="1">
      <c r="B87" s="101" t="s">
        <v>187</v>
      </c>
      <c r="C87" s="293" t="s">
        <v>186</v>
      </c>
      <c r="D87" s="295"/>
      <c r="E87" s="87" t="s">
        <v>166</v>
      </c>
      <c r="F87" s="68" t="s">
        <v>108</v>
      </c>
      <c r="H87" s="5"/>
    </row>
    <row r="88" spans="2:8" ht="15" customHeight="1">
      <c r="B88" s="34" t="s">
        <v>78</v>
      </c>
      <c r="C88" s="290" t="s">
        <v>186</v>
      </c>
      <c r="D88" s="292"/>
      <c r="E88" s="78">
        <v>2.8700000000000002E-3</v>
      </c>
      <c r="F88" s="38">
        <f t="shared" ref="F88" si="3">E88*$F$37</f>
        <v>5.57</v>
      </c>
      <c r="H88" s="5"/>
    </row>
    <row r="89" spans="2:8" ht="15" customHeight="1">
      <c r="B89" s="102" t="s">
        <v>83</v>
      </c>
      <c r="C89" s="322" t="s">
        <v>188</v>
      </c>
      <c r="D89" s="323"/>
      <c r="E89" s="88">
        <f>E74*E88</f>
        <v>1.0399999999999999E-3</v>
      </c>
      <c r="F89" s="94">
        <f>F88*E74</f>
        <v>2.0099999999999998</v>
      </c>
      <c r="H89" s="5"/>
    </row>
    <row r="90" spans="2:8" ht="15" customHeight="1">
      <c r="B90" s="293" t="s">
        <v>57</v>
      </c>
      <c r="C90" s="294"/>
      <c r="D90" s="295"/>
      <c r="E90" s="89">
        <f>SUM(E88:E89)</f>
        <v>3.9100000000000003E-3</v>
      </c>
      <c r="F90" s="69">
        <f>SUM(F88:F89)</f>
        <v>7.58</v>
      </c>
      <c r="H90" s="5"/>
    </row>
    <row r="91" spans="2:8" ht="15" customHeight="1">
      <c r="H91" s="5"/>
    </row>
    <row r="92" spans="2:8" ht="15" customHeight="1">
      <c r="B92" s="293" t="s">
        <v>189</v>
      </c>
      <c r="C92" s="295"/>
      <c r="D92" s="293" t="s">
        <v>190</v>
      </c>
      <c r="E92" s="294"/>
      <c r="F92" s="295"/>
      <c r="H92" s="5"/>
    </row>
    <row r="93" spans="2:8" ht="15" customHeight="1">
      <c r="B93" s="101" t="s">
        <v>191</v>
      </c>
      <c r="C93" s="293" t="s">
        <v>190</v>
      </c>
      <c r="D93" s="295"/>
      <c r="E93" s="87" t="s">
        <v>166</v>
      </c>
      <c r="F93" s="68" t="s">
        <v>108</v>
      </c>
      <c r="H93" s="5"/>
    </row>
    <row r="94" spans="2:8" ht="15" customHeight="1">
      <c r="B94" s="34" t="s">
        <v>78</v>
      </c>
      <c r="C94" s="290" t="s">
        <v>192</v>
      </c>
      <c r="D94" s="292"/>
      <c r="E94" s="78">
        <v>4.1700000000000001E-3</v>
      </c>
      <c r="F94" s="38">
        <f t="shared" ref="F94" si="4">E94*$F$37</f>
        <v>8.09</v>
      </c>
      <c r="H94" s="5"/>
    </row>
    <row r="95" spans="2:8" ht="15" customHeight="1">
      <c r="B95" s="34" t="s">
        <v>83</v>
      </c>
      <c r="C95" s="326" t="s">
        <v>193</v>
      </c>
      <c r="D95" s="327"/>
      <c r="E95" s="78">
        <f>E94*E71</f>
        <v>3.3E-4</v>
      </c>
      <c r="F95" s="38">
        <f>F94*E71</f>
        <v>0.65</v>
      </c>
      <c r="H95" s="5"/>
    </row>
    <row r="96" spans="2:8" ht="15" customHeight="1">
      <c r="B96" s="34" t="s">
        <v>86</v>
      </c>
      <c r="C96" s="290" t="s">
        <v>194</v>
      </c>
      <c r="D96" s="292"/>
      <c r="E96" s="78">
        <v>3.2000000000000001E-2</v>
      </c>
      <c r="F96" s="38">
        <f t="shared" ref="F96:F97" si="5">E96*$F$37</f>
        <v>62.08</v>
      </c>
      <c r="H96" s="5"/>
    </row>
    <row r="97" spans="2:8" ht="15" customHeight="1">
      <c r="B97" s="34" t="s">
        <v>88</v>
      </c>
      <c r="C97" s="290" t="s">
        <v>195</v>
      </c>
      <c r="D97" s="292"/>
      <c r="E97" s="78">
        <v>1.9439999999999999E-2</v>
      </c>
      <c r="F97" s="38">
        <f t="shared" si="5"/>
        <v>37.71</v>
      </c>
      <c r="H97" s="5"/>
    </row>
    <row r="98" spans="2:8" ht="15" customHeight="1">
      <c r="B98" s="34" t="s">
        <v>113</v>
      </c>
      <c r="C98" s="326" t="s">
        <v>196</v>
      </c>
      <c r="D98" s="327"/>
      <c r="E98" s="78">
        <f>E97*E74</f>
        <v>7.0200000000000002E-3</v>
      </c>
      <c r="F98" s="94">
        <f>F97*E74</f>
        <v>13.62</v>
      </c>
      <c r="H98" s="5"/>
    </row>
    <row r="99" spans="2:8" ht="15" customHeight="1">
      <c r="B99" s="102" t="s">
        <v>88</v>
      </c>
      <c r="C99" s="290" t="s">
        <v>197</v>
      </c>
      <c r="D99" s="292"/>
      <c r="E99" s="78">
        <v>8.0000000000000002E-3</v>
      </c>
      <c r="F99" s="38">
        <f t="shared" ref="F99" si="6">E99*$F$37</f>
        <v>15.52</v>
      </c>
      <c r="H99" s="5"/>
    </row>
    <row r="100" spans="2:8" ht="15" customHeight="1">
      <c r="B100" s="293" t="s">
        <v>57</v>
      </c>
      <c r="C100" s="294"/>
      <c r="D100" s="295"/>
      <c r="E100" s="79">
        <f>SUM(E94:E99)</f>
        <v>7.0959999999999995E-2</v>
      </c>
      <c r="F100" s="69">
        <f>SUM(F94:F99)</f>
        <v>137.66999999999999</v>
      </c>
      <c r="H100" s="5"/>
    </row>
    <row r="101" spans="2:8" ht="27" customHeight="1">
      <c r="B101" s="32" t="s">
        <v>145</v>
      </c>
      <c r="C101" s="322" t="s">
        <v>198</v>
      </c>
      <c r="D101" s="328"/>
      <c r="E101" s="328"/>
      <c r="F101" s="323"/>
      <c r="H101" s="5"/>
    </row>
    <row r="102" spans="2:8" ht="24.75" customHeight="1">
      <c r="B102" s="32" t="s">
        <v>148</v>
      </c>
      <c r="C102" s="322" t="s">
        <v>199</v>
      </c>
      <c r="D102" s="328"/>
      <c r="E102" s="328"/>
      <c r="F102" s="323"/>
      <c r="H102" s="5"/>
    </row>
    <row r="103" spans="2:8" ht="15" customHeight="1">
      <c r="H103" s="5"/>
    </row>
    <row r="104" spans="2:8" ht="15" customHeight="1">
      <c r="B104" s="293" t="s">
        <v>200</v>
      </c>
      <c r="C104" s="295"/>
      <c r="D104" s="293" t="s">
        <v>201</v>
      </c>
      <c r="E104" s="294"/>
      <c r="F104" s="295"/>
      <c r="H104" s="5"/>
    </row>
    <row r="105" spans="2:8" ht="15" customHeight="1">
      <c r="B105" s="101" t="s">
        <v>202</v>
      </c>
      <c r="C105" s="324" t="s">
        <v>203</v>
      </c>
      <c r="D105" s="325"/>
      <c r="E105" s="87" t="s">
        <v>166</v>
      </c>
      <c r="F105" s="68" t="s">
        <v>108</v>
      </c>
      <c r="H105" s="5"/>
    </row>
    <row r="106" spans="2:8" ht="15" customHeight="1">
      <c r="B106" s="34" t="s">
        <v>78</v>
      </c>
      <c r="C106" s="290" t="s">
        <v>204</v>
      </c>
      <c r="D106" s="292"/>
      <c r="E106" s="80">
        <v>0.11111</v>
      </c>
      <c r="F106" s="38">
        <f t="shared" ref="F106:F111" si="7">E106*$F$37</f>
        <v>215.55</v>
      </c>
      <c r="H106" s="5"/>
    </row>
    <row r="107" spans="2:8" ht="15" customHeight="1">
      <c r="B107" s="34" t="s">
        <v>83</v>
      </c>
      <c r="C107" s="326" t="s">
        <v>205</v>
      </c>
      <c r="D107" s="327"/>
      <c r="E107" s="80">
        <v>1.389E-2</v>
      </c>
      <c r="F107" s="38">
        <f t="shared" si="7"/>
        <v>26.95</v>
      </c>
      <c r="H107" s="5"/>
    </row>
    <row r="108" spans="2:8" ht="15" customHeight="1">
      <c r="B108" s="34" t="s">
        <v>86</v>
      </c>
      <c r="C108" s="290" t="s">
        <v>206</v>
      </c>
      <c r="D108" s="292"/>
      <c r="E108" s="80">
        <v>2.1000000000000001E-4</v>
      </c>
      <c r="F108" s="38">
        <f t="shared" si="7"/>
        <v>0.41</v>
      </c>
      <c r="H108" s="5"/>
    </row>
    <row r="109" spans="2:8" ht="15" customHeight="1">
      <c r="B109" s="34" t="s">
        <v>88</v>
      </c>
      <c r="C109" s="290" t="s">
        <v>207</v>
      </c>
      <c r="D109" s="292"/>
      <c r="E109" s="80">
        <v>2.7799999999999999E-3</v>
      </c>
      <c r="F109" s="38">
        <f t="shared" si="7"/>
        <v>5.39</v>
      </c>
      <c r="H109" s="5"/>
    </row>
    <row r="110" spans="2:8" ht="15" customHeight="1">
      <c r="B110" s="34" t="s">
        <v>113</v>
      </c>
      <c r="C110" s="290" t="s">
        <v>208</v>
      </c>
      <c r="D110" s="292"/>
      <c r="E110" s="80">
        <v>3.3300000000000001E-3</v>
      </c>
      <c r="F110" s="38">
        <f t="shared" si="7"/>
        <v>6.46</v>
      </c>
      <c r="H110" s="5"/>
    </row>
    <row r="111" spans="2:8" ht="15" customHeight="1">
      <c r="B111" s="102" t="s">
        <v>116</v>
      </c>
      <c r="C111" s="322" t="s">
        <v>126</v>
      </c>
      <c r="D111" s="323"/>
      <c r="E111" s="80">
        <v>0</v>
      </c>
      <c r="F111" s="38">
        <f t="shared" si="7"/>
        <v>0</v>
      </c>
      <c r="H111" s="5"/>
    </row>
    <row r="112" spans="2:8" ht="15" customHeight="1">
      <c r="B112" s="293" t="s">
        <v>183</v>
      </c>
      <c r="C112" s="294"/>
      <c r="D112" s="295"/>
      <c r="E112" s="79">
        <f>SUM(E106:E111)</f>
        <v>0.13131999999999999</v>
      </c>
      <c r="F112" s="73">
        <f>SUM(F106:F111)</f>
        <v>254.76</v>
      </c>
      <c r="H112" s="5"/>
    </row>
    <row r="113" spans="2:8" ht="15" customHeight="1">
      <c r="B113" s="102" t="s">
        <v>122</v>
      </c>
      <c r="C113" s="326" t="s">
        <v>209</v>
      </c>
      <c r="D113" s="327"/>
      <c r="E113" s="78">
        <f>E74*E112</f>
        <v>4.743E-2</v>
      </c>
      <c r="F113" s="76">
        <f>E74*F112</f>
        <v>92.02</v>
      </c>
      <c r="H113" s="5"/>
    </row>
    <row r="114" spans="2:8" ht="15" customHeight="1">
      <c r="B114" s="293" t="s">
        <v>57</v>
      </c>
      <c r="C114" s="294"/>
      <c r="D114" s="295"/>
      <c r="E114" s="79">
        <f>SUM(E112:E113)</f>
        <v>0.17874999999999999</v>
      </c>
      <c r="F114" s="69">
        <f>SUM(F112:F113)</f>
        <v>346.78</v>
      </c>
      <c r="H114" s="5"/>
    </row>
    <row r="115" spans="2:8" ht="15" customHeight="1">
      <c r="H115" s="5"/>
    </row>
    <row r="116" spans="2:8" ht="15" customHeight="1">
      <c r="B116" s="293" t="s">
        <v>210</v>
      </c>
      <c r="C116" s="295"/>
      <c r="D116" s="293" t="s">
        <v>211</v>
      </c>
      <c r="E116" s="294"/>
      <c r="F116" s="295"/>
      <c r="H116" s="5"/>
    </row>
    <row r="117" spans="2:8" ht="15" customHeight="1">
      <c r="B117" s="101">
        <v>4</v>
      </c>
      <c r="C117" s="324" t="s">
        <v>212</v>
      </c>
      <c r="D117" s="325"/>
      <c r="E117" s="87" t="s">
        <v>166</v>
      </c>
      <c r="F117" s="68" t="s">
        <v>108</v>
      </c>
      <c r="H117" s="5"/>
    </row>
    <row r="118" spans="2:8" ht="15" customHeight="1">
      <c r="B118" s="34" t="s">
        <v>165</v>
      </c>
      <c r="C118" s="290" t="str">
        <f>D64</f>
        <v>Encargos Previdenciários e FGTS</v>
      </c>
      <c r="D118" s="292"/>
      <c r="E118" s="90">
        <f>E74</f>
        <v>0.36120000000000002</v>
      </c>
      <c r="F118" s="38">
        <f>F74</f>
        <v>700.73</v>
      </c>
      <c r="H118" s="5"/>
    </row>
    <row r="119" spans="2:8" ht="15" customHeight="1">
      <c r="B119" s="34" t="s">
        <v>179</v>
      </c>
      <c r="C119" s="326" t="str">
        <f>D78</f>
        <v>13° Salário e Adicional de Férias</v>
      </c>
      <c r="D119" s="327"/>
      <c r="E119" s="90">
        <f>E84</f>
        <v>0.15124000000000001</v>
      </c>
      <c r="F119" s="38">
        <f>F84</f>
        <v>293.41000000000003</v>
      </c>
      <c r="H119" s="5"/>
    </row>
    <row r="120" spans="2:8" ht="15" customHeight="1">
      <c r="B120" s="34" t="s">
        <v>187</v>
      </c>
      <c r="C120" s="290" t="str">
        <f>D86</f>
        <v>Afastamento Maternidade</v>
      </c>
      <c r="D120" s="292"/>
      <c r="E120" s="90">
        <f>E90</f>
        <v>3.9100000000000003E-3</v>
      </c>
      <c r="F120" s="38">
        <f>F90</f>
        <v>7.58</v>
      </c>
      <c r="H120" s="5"/>
    </row>
    <row r="121" spans="2:8" ht="15" customHeight="1">
      <c r="B121" s="34" t="s">
        <v>191</v>
      </c>
      <c r="C121" s="290" t="str">
        <f>D92</f>
        <v>Provisão para Rescisão</v>
      </c>
      <c r="D121" s="292"/>
      <c r="E121" s="90">
        <f>E100</f>
        <v>7.0959999999999995E-2</v>
      </c>
      <c r="F121" s="38">
        <f>F100</f>
        <v>137.66999999999999</v>
      </c>
      <c r="H121" s="5"/>
    </row>
    <row r="122" spans="2:8" ht="15" customHeight="1">
      <c r="B122" s="34" t="s">
        <v>202</v>
      </c>
      <c r="C122" s="290" t="str">
        <f>D104</f>
        <v>Custo de Reposição do Profissional Ausente</v>
      </c>
      <c r="D122" s="292"/>
      <c r="E122" s="90">
        <f>E114</f>
        <v>0.17874999999999999</v>
      </c>
      <c r="F122" s="38">
        <f>F114</f>
        <v>346.78</v>
      </c>
      <c r="H122" s="5"/>
    </row>
    <row r="123" spans="2:8" ht="15" customHeight="1">
      <c r="B123" s="102" t="s">
        <v>213</v>
      </c>
      <c r="C123" s="322" t="s">
        <v>126</v>
      </c>
      <c r="D123" s="323"/>
      <c r="E123" s="90">
        <v>0</v>
      </c>
      <c r="F123" s="38">
        <v>0</v>
      </c>
      <c r="H123" s="5"/>
    </row>
    <row r="124" spans="2:8" ht="15" customHeight="1">
      <c r="B124" s="293" t="s">
        <v>57</v>
      </c>
      <c r="C124" s="294"/>
      <c r="D124" s="295"/>
      <c r="E124" s="89">
        <f>SUM(E118:E123)</f>
        <v>0.76605999999999996</v>
      </c>
      <c r="F124" s="69">
        <f>SUM(F118:F123)</f>
        <v>1486.17</v>
      </c>
      <c r="H124" s="5"/>
    </row>
    <row r="125" spans="2:8" ht="15" customHeight="1">
      <c r="H125" s="5"/>
    </row>
    <row r="126" spans="2:8" ht="15" customHeight="1">
      <c r="B126" s="293" t="s">
        <v>214</v>
      </c>
      <c r="C126" s="295"/>
      <c r="D126" s="293" t="s">
        <v>215</v>
      </c>
      <c r="E126" s="294"/>
      <c r="F126" s="295"/>
      <c r="H126" s="5"/>
    </row>
    <row r="127" spans="2:8" ht="15" customHeight="1">
      <c r="B127" s="101">
        <v>5</v>
      </c>
      <c r="C127" s="293" t="s">
        <v>216</v>
      </c>
      <c r="D127" s="295"/>
      <c r="E127" s="87" t="s">
        <v>166</v>
      </c>
      <c r="F127" s="68" t="s">
        <v>108</v>
      </c>
      <c r="H127" s="5"/>
    </row>
    <row r="128" spans="2:8" ht="15" customHeight="1">
      <c r="B128" s="34" t="s">
        <v>78</v>
      </c>
      <c r="C128" s="315" t="s">
        <v>217</v>
      </c>
      <c r="D128" s="316"/>
      <c r="E128" s="84">
        <v>5.0000000000000001E-3</v>
      </c>
      <c r="F128" s="40">
        <f>E128*F148</f>
        <v>19.260000000000002</v>
      </c>
      <c r="H128" s="5"/>
    </row>
    <row r="129" spans="2:8" ht="15" customHeight="1">
      <c r="B129" s="34" t="s">
        <v>83</v>
      </c>
      <c r="C129" s="104" t="s">
        <v>218</v>
      </c>
      <c r="D129" s="104"/>
      <c r="E129" s="84">
        <v>5.0000000000000001E-3</v>
      </c>
      <c r="F129" s="40">
        <f>E129*(F148+F128)</f>
        <v>19.350000000000001</v>
      </c>
      <c r="H129" s="5"/>
    </row>
    <row r="130" spans="2:8" ht="15" customHeight="1">
      <c r="B130" s="303" t="s">
        <v>219</v>
      </c>
      <c r="C130" s="304"/>
      <c r="D130" s="305"/>
      <c r="E130" s="79">
        <f>SUM(E128:E129)</f>
        <v>0.01</v>
      </c>
      <c r="F130" s="69">
        <f>SUM(F128:F129)</f>
        <v>38.61</v>
      </c>
      <c r="H130" s="5"/>
    </row>
    <row r="131" spans="2:8" ht="15" customHeight="1">
      <c r="B131" s="317" t="s">
        <v>86</v>
      </c>
      <c r="C131" s="290" t="s">
        <v>220</v>
      </c>
      <c r="D131" s="291"/>
      <c r="E131" s="291"/>
      <c r="F131" s="292"/>
      <c r="H131" s="5"/>
    </row>
    <row r="132" spans="2:8" ht="15" customHeight="1">
      <c r="B132" s="318"/>
      <c r="C132" s="320" t="s">
        <v>221</v>
      </c>
      <c r="D132" s="42" t="s">
        <v>222</v>
      </c>
      <c r="E132" s="80">
        <v>7.5999999999999998E-2</v>
      </c>
      <c r="F132" s="41">
        <f>(($F$148+$F$128+$F$129)/(1-$E$136))*E132</f>
        <v>344.74</v>
      </c>
      <c r="H132" s="5"/>
    </row>
    <row r="133" spans="2:8" ht="15" customHeight="1">
      <c r="B133" s="318"/>
      <c r="C133" s="321"/>
      <c r="D133" s="42" t="s">
        <v>223</v>
      </c>
      <c r="E133" s="80">
        <v>1.6500000000000001E-2</v>
      </c>
      <c r="F133" s="41">
        <f t="shared" ref="F133:F135" si="8">(($F$148+$F$128+$F$129)/(1-$E$136))*E133</f>
        <v>74.84</v>
      </c>
      <c r="H133" s="5"/>
    </row>
    <row r="134" spans="2:8" ht="15" customHeight="1">
      <c r="B134" s="318"/>
      <c r="C134" s="43" t="s">
        <v>224</v>
      </c>
      <c r="D134" s="42" t="s">
        <v>225</v>
      </c>
      <c r="E134" s="80">
        <v>0.05</v>
      </c>
      <c r="F134" s="41">
        <f t="shared" si="8"/>
        <v>226.8</v>
      </c>
      <c r="H134" s="5"/>
    </row>
    <row r="135" spans="2:8" ht="15" customHeight="1">
      <c r="B135" s="319"/>
      <c r="C135" s="43" t="s">
        <v>226</v>
      </c>
      <c r="D135" s="72"/>
      <c r="E135" s="80">
        <v>0</v>
      </c>
      <c r="F135" s="41">
        <f t="shared" si="8"/>
        <v>0</v>
      </c>
      <c r="H135" s="5"/>
    </row>
    <row r="136" spans="2:8" ht="15" customHeight="1">
      <c r="B136" s="303" t="s">
        <v>227</v>
      </c>
      <c r="C136" s="304"/>
      <c r="D136" s="305"/>
      <c r="E136" s="79">
        <f>SUM(E132:E135)</f>
        <v>0.14249999999999999</v>
      </c>
      <c r="F136" s="69">
        <f>SUM(F132:F135)</f>
        <v>646.38</v>
      </c>
      <c r="H136" s="5"/>
    </row>
    <row r="137" spans="2:8" ht="15" customHeight="1">
      <c r="B137" s="293" t="s">
        <v>57</v>
      </c>
      <c r="C137" s="294"/>
      <c r="D137" s="295"/>
      <c r="E137" s="79">
        <f>E130+E136</f>
        <v>0.1525</v>
      </c>
      <c r="F137" s="71">
        <f>SUM(F136,F130)</f>
        <v>684.99</v>
      </c>
      <c r="H137" s="5"/>
    </row>
    <row r="138" spans="2:8" ht="15" customHeight="1">
      <c r="B138" s="39" t="s">
        <v>145</v>
      </c>
      <c r="C138" s="306" t="s">
        <v>228</v>
      </c>
      <c r="D138" s="307"/>
      <c r="E138" s="307"/>
      <c r="F138" s="308"/>
      <c r="H138" s="5"/>
    </row>
    <row r="139" spans="2:8" ht="15" customHeight="1">
      <c r="B139" s="39" t="s">
        <v>148</v>
      </c>
      <c r="C139" s="306" t="s">
        <v>229</v>
      </c>
      <c r="D139" s="307"/>
      <c r="E139" s="307"/>
      <c r="F139" s="308"/>
      <c r="H139" s="5"/>
    </row>
    <row r="140" spans="2:8" ht="25.5" customHeight="1">
      <c r="B140" s="39" t="s">
        <v>230</v>
      </c>
      <c r="C140" s="309" t="s">
        <v>231</v>
      </c>
      <c r="D140" s="310"/>
      <c r="E140" s="310"/>
      <c r="F140" s="311"/>
      <c r="H140" s="5"/>
    </row>
    <row r="141" spans="2:8" ht="15" customHeight="1">
      <c r="H141" s="5"/>
    </row>
    <row r="142" spans="2:8" ht="15" customHeight="1">
      <c r="B142" s="293" t="s">
        <v>232</v>
      </c>
      <c r="C142" s="294"/>
      <c r="D142" s="294"/>
      <c r="E142" s="294"/>
      <c r="F142" s="295"/>
      <c r="H142" s="5"/>
    </row>
    <row r="143" spans="2:8" ht="15" customHeight="1">
      <c r="B143" s="300" t="s">
        <v>233</v>
      </c>
      <c r="C143" s="301"/>
      <c r="D143" s="301"/>
      <c r="E143" s="302"/>
      <c r="F143" s="65" t="s">
        <v>234</v>
      </c>
      <c r="H143" s="5"/>
    </row>
    <row r="144" spans="2:8" ht="15" customHeight="1">
      <c r="B144" s="34" t="s">
        <v>78</v>
      </c>
      <c r="C144" s="290" t="s">
        <v>235</v>
      </c>
      <c r="D144" s="291"/>
      <c r="E144" s="292"/>
      <c r="F144" s="38">
        <f>F37</f>
        <v>1940</v>
      </c>
      <c r="H144" s="5"/>
    </row>
    <row r="145" spans="2:8" ht="15" customHeight="1">
      <c r="B145" s="34" t="s">
        <v>83</v>
      </c>
      <c r="C145" s="290" t="s">
        <v>236</v>
      </c>
      <c r="D145" s="291"/>
      <c r="E145" s="292"/>
      <c r="F145" s="38">
        <f>F47</f>
        <v>239.64</v>
      </c>
      <c r="H145" s="5"/>
    </row>
    <row r="146" spans="2:8" ht="15" customHeight="1">
      <c r="B146" s="34" t="s">
        <v>86</v>
      </c>
      <c r="C146" s="290" t="s">
        <v>237</v>
      </c>
      <c r="D146" s="291"/>
      <c r="E146" s="292"/>
      <c r="F146" s="38">
        <f>F60</f>
        <v>185.19</v>
      </c>
      <c r="H146" s="5"/>
    </row>
    <row r="147" spans="2:8" ht="15" customHeight="1">
      <c r="B147" s="34" t="s">
        <v>88</v>
      </c>
      <c r="C147" s="290" t="s">
        <v>212</v>
      </c>
      <c r="D147" s="291"/>
      <c r="E147" s="292"/>
      <c r="F147" s="38">
        <f>F124</f>
        <v>1486.17</v>
      </c>
      <c r="H147" s="5"/>
    </row>
    <row r="148" spans="2:8" ht="15" customHeight="1">
      <c r="B148" s="293" t="s">
        <v>238</v>
      </c>
      <c r="C148" s="294"/>
      <c r="D148" s="294"/>
      <c r="E148" s="295"/>
      <c r="F148" s="73">
        <f>SUM(F144:F147)</f>
        <v>3851</v>
      </c>
      <c r="H148" s="5"/>
    </row>
    <row r="149" spans="2:8" ht="15" customHeight="1">
      <c r="B149" s="34" t="s">
        <v>113</v>
      </c>
      <c r="C149" s="290" t="s">
        <v>239</v>
      </c>
      <c r="D149" s="291"/>
      <c r="E149" s="292"/>
      <c r="F149" s="38">
        <f>F137</f>
        <v>684.99</v>
      </c>
      <c r="H149" s="5"/>
    </row>
    <row r="150" spans="2:8" ht="15" customHeight="1">
      <c r="B150" s="293" t="s">
        <v>240</v>
      </c>
      <c r="C150" s="294"/>
      <c r="D150" s="294"/>
      <c r="E150" s="295"/>
      <c r="F150" s="73">
        <f>SUM(F148:F149)</f>
        <v>4535.99</v>
      </c>
      <c r="H150" s="5"/>
    </row>
    <row r="151" spans="2:8" ht="15" customHeight="1">
      <c r="B151" s="472" t="s">
        <v>264</v>
      </c>
      <c r="C151" s="472"/>
      <c r="D151" s="472"/>
      <c r="E151" s="472"/>
      <c r="F151" s="110">
        <f>F150*E16</f>
        <v>4535.99</v>
      </c>
      <c r="H151" s="5"/>
    </row>
    <row r="152" spans="2:8" ht="15" customHeight="1">
      <c r="H152" s="5"/>
    </row>
    <row r="153" spans="2:8" ht="26.25" customHeight="1">
      <c r="B153" s="470" t="s">
        <v>151</v>
      </c>
      <c r="C153" s="470"/>
      <c r="D153" s="111" t="s">
        <v>152</v>
      </c>
      <c r="E153" s="470" t="s">
        <v>251</v>
      </c>
      <c r="F153" s="470"/>
      <c r="G153" s="112"/>
      <c r="H153" s="5"/>
    </row>
    <row r="154" spans="2:8" ht="31.5" customHeight="1">
      <c r="B154" s="470" t="s">
        <v>253</v>
      </c>
      <c r="C154" s="470"/>
      <c r="D154" s="113">
        <v>60</v>
      </c>
      <c r="E154" s="471">
        <f>F151*D154</f>
        <v>272159.40000000002</v>
      </c>
      <c r="F154" s="471"/>
      <c r="H154" s="5"/>
    </row>
    <row r="155" spans="2:8" ht="35.25" customHeight="1">
      <c r="B155" s="470" t="s">
        <v>263</v>
      </c>
      <c r="C155" s="470"/>
      <c r="D155" s="113">
        <v>12</v>
      </c>
      <c r="E155" s="471">
        <f>F151*D155</f>
        <v>54431.88</v>
      </c>
      <c r="F155" s="471"/>
      <c r="H155" s="5"/>
    </row>
  </sheetData>
  <mergeCells count="150">
    <mergeCell ref="B155:C155"/>
    <mergeCell ref="E155:F155"/>
    <mergeCell ref="C149:E149"/>
    <mergeCell ref="B150:E150"/>
    <mergeCell ref="B151:E151"/>
    <mergeCell ref="B153:C153"/>
    <mergeCell ref="E153:F153"/>
    <mergeCell ref="B154:C154"/>
    <mergeCell ref="E154:F154"/>
    <mergeCell ref="B143:E143"/>
    <mergeCell ref="C144:E144"/>
    <mergeCell ref="C145:E145"/>
    <mergeCell ref="C146:E146"/>
    <mergeCell ref="C147:E147"/>
    <mergeCell ref="B148:E148"/>
    <mergeCell ref="B136:D136"/>
    <mergeCell ref="B137:D137"/>
    <mergeCell ref="C138:F138"/>
    <mergeCell ref="C139:F139"/>
    <mergeCell ref="C140:F140"/>
    <mergeCell ref="B142:F142"/>
    <mergeCell ref="C127:D127"/>
    <mergeCell ref="C128:D128"/>
    <mergeCell ref="B130:D130"/>
    <mergeCell ref="B131:B135"/>
    <mergeCell ref="C131:F131"/>
    <mergeCell ref="C132:C133"/>
    <mergeCell ref="C121:D121"/>
    <mergeCell ref="C122:D122"/>
    <mergeCell ref="C123:D123"/>
    <mergeCell ref="B124:D124"/>
    <mergeCell ref="B126:C126"/>
    <mergeCell ref="D126:F126"/>
    <mergeCell ref="B116:C116"/>
    <mergeCell ref="D116:F116"/>
    <mergeCell ref="C117:D117"/>
    <mergeCell ref="C118:D118"/>
    <mergeCell ref="C119:D119"/>
    <mergeCell ref="C120:D120"/>
    <mergeCell ref="C109:D109"/>
    <mergeCell ref="C110:D110"/>
    <mergeCell ref="C111:D111"/>
    <mergeCell ref="B112:D112"/>
    <mergeCell ref="C113:D113"/>
    <mergeCell ref="B114:D114"/>
    <mergeCell ref="B104:C104"/>
    <mergeCell ref="D104:F104"/>
    <mergeCell ref="C105:D105"/>
    <mergeCell ref="C106:D106"/>
    <mergeCell ref="C107:D107"/>
    <mergeCell ref="C108:D108"/>
    <mergeCell ref="C97:D97"/>
    <mergeCell ref="C98:D98"/>
    <mergeCell ref="C99:D99"/>
    <mergeCell ref="B100:D100"/>
    <mergeCell ref="C101:F101"/>
    <mergeCell ref="C102:F102"/>
    <mergeCell ref="B92:C92"/>
    <mergeCell ref="D92:F92"/>
    <mergeCell ref="C93:D93"/>
    <mergeCell ref="C94:D94"/>
    <mergeCell ref="C95:D95"/>
    <mergeCell ref="C96:D96"/>
    <mergeCell ref="B86:C86"/>
    <mergeCell ref="D86:F86"/>
    <mergeCell ref="C87:D87"/>
    <mergeCell ref="C88:D88"/>
    <mergeCell ref="C89:D89"/>
    <mergeCell ref="B90:D90"/>
    <mergeCell ref="C79:D79"/>
    <mergeCell ref="C80:D80"/>
    <mergeCell ref="C81:D81"/>
    <mergeCell ref="B82:D82"/>
    <mergeCell ref="C83:D83"/>
    <mergeCell ref="B84:D84"/>
    <mergeCell ref="C72:D72"/>
    <mergeCell ref="C73:D73"/>
    <mergeCell ref="B74:D74"/>
    <mergeCell ref="C75:F75"/>
    <mergeCell ref="C76:F76"/>
    <mergeCell ref="B78:C78"/>
    <mergeCell ref="D78:F78"/>
    <mergeCell ref="C66:D66"/>
    <mergeCell ref="C67:D67"/>
    <mergeCell ref="C68:D68"/>
    <mergeCell ref="C69:D69"/>
    <mergeCell ref="C70:D70"/>
    <mergeCell ref="C71:D71"/>
    <mergeCell ref="C61:F61"/>
    <mergeCell ref="B63:C63"/>
    <mergeCell ref="D63:F63"/>
    <mergeCell ref="B64:C64"/>
    <mergeCell ref="D64:F64"/>
    <mergeCell ref="C65:D65"/>
    <mergeCell ref="C55:E55"/>
    <mergeCell ref="C56:E56"/>
    <mergeCell ref="C57:E57"/>
    <mergeCell ref="C58:E58"/>
    <mergeCell ref="C59:E59"/>
    <mergeCell ref="B60:E60"/>
    <mergeCell ref="B47:E47"/>
    <mergeCell ref="C48:F48"/>
    <mergeCell ref="B49:B52"/>
    <mergeCell ref="C49:F52"/>
    <mergeCell ref="B54:C54"/>
    <mergeCell ref="D54:F54"/>
    <mergeCell ref="C41:E41"/>
    <mergeCell ref="C42:E42"/>
    <mergeCell ref="C43:E43"/>
    <mergeCell ref="C44:E44"/>
    <mergeCell ref="C45:E45"/>
    <mergeCell ref="C46:E46"/>
    <mergeCell ref="C28:E28"/>
    <mergeCell ref="C36:D36"/>
    <mergeCell ref="B37:D37"/>
    <mergeCell ref="B39:C39"/>
    <mergeCell ref="D39:F39"/>
    <mergeCell ref="C40:E40"/>
    <mergeCell ref="C22:E22"/>
    <mergeCell ref="C23:E23"/>
    <mergeCell ref="C24:E24"/>
    <mergeCell ref="C25:E25"/>
    <mergeCell ref="C26:F26"/>
    <mergeCell ref="B27:C27"/>
    <mergeCell ref="D27:F27"/>
    <mergeCell ref="B16:C16"/>
    <mergeCell ref="E16:F16"/>
    <mergeCell ref="B18:F18"/>
    <mergeCell ref="B19:F19"/>
    <mergeCell ref="B20:F20"/>
    <mergeCell ref="B21:F21"/>
    <mergeCell ref="B14:F14"/>
    <mergeCell ref="B15:C15"/>
    <mergeCell ref="E15:F15"/>
    <mergeCell ref="B8:C8"/>
    <mergeCell ref="E8:F8"/>
    <mergeCell ref="B9:F9"/>
    <mergeCell ref="C10:D10"/>
    <mergeCell ref="E10:F10"/>
    <mergeCell ref="C11:D11"/>
    <mergeCell ref="E11:F11"/>
    <mergeCell ref="E2:F2"/>
    <mergeCell ref="B3:F3"/>
    <mergeCell ref="B4:F4"/>
    <mergeCell ref="E5:F5"/>
    <mergeCell ref="E6:F6"/>
    <mergeCell ref="B7:F7"/>
    <mergeCell ref="E12:F12"/>
    <mergeCell ref="C13:D13"/>
    <mergeCell ref="E13:F13"/>
  </mergeCells>
  <pageMargins left="0.51181102362204722" right="0.51181102362204722" top="0.78740157480314965" bottom="0.78740157480314965" header="0.31496062992125984" footer="0.31496062992125984"/>
  <pageSetup paperSize="9" scale="75" orientation="portrait" r:id="rId1"/>
  <rowBreaks count="1" manualBreakCount="1">
    <brk id="90" max="16383" man="1"/>
  </rowBreaks>
  <colBreaks count="1" manualBreakCount="1">
    <brk id="7" max="1048575" man="1"/>
  </colBreaks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800-000000000000}">
          <x14:formula1>
            <xm:f>'#listas#'!$E$1:$E$22</xm:f>
          </x14:formula1>
          <xm:sqref>C2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FF00"/>
  </sheetPr>
  <dimension ref="B1:H155"/>
  <sheetViews>
    <sheetView showGridLines="0" view="pageBreakPreview" topLeftCell="A43" zoomScaleNormal="115" zoomScaleSheetLayoutView="100" workbookViewId="0">
      <selection activeCell="C49" sqref="C49:F52"/>
    </sheetView>
  </sheetViews>
  <sheetFormatPr defaultColWidth="9.140625" defaultRowHeight="15" customHeight="1"/>
  <cols>
    <col min="1" max="1" width="4.42578125" style="5" customWidth="1"/>
    <col min="2" max="2" width="12.85546875" style="44" customWidth="1"/>
    <col min="3" max="3" width="43.42578125" style="44" customWidth="1"/>
    <col min="4" max="4" width="18.85546875" style="44" bestFit="1" customWidth="1"/>
    <col min="5" max="5" width="10.140625" style="85" bestFit="1" customWidth="1"/>
    <col min="6" max="6" width="11.7109375" style="45" customWidth="1"/>
    <col min="7" max="7" width="3.28515625" style="5" customWidth="1"/>
    <col min="8" max="8" width="12.140625" style="52" customWidth="1"/>
    <col min="9" max="16384" width="9.140625" style="5"/>
  </cols>
  <sheetData>
    <row r="1" spans="2:8" ht="15" customHeight="1">
      <c r="H1" s="47"/>
    </row>
    <row r="2" spans="2:8" s="49" customFormat="1" ht="15" customHeight="1">
      <c r="B2" s="8" t="s">
        <v>55</v>
      </c>
      <c r="C2" s="50" t="s">
        <v>21</v>
      </c>
      <c r="D2" s="8" t="s">
        <v>59</v>
      </c>
      <c r="E2" s="462"/>
      <c r="F2" s="462"/>
      <c r="H2" s="51"/>
    </row>
    <row r="3" spans="2:8" ht="21">
      <c r="B3" s="466" t="s">
        <v>290</v>
      </c>
      <c r="C3" s="466"/>
      <c r="D3" s="466"/>
      <c r="E3" s="466"/>
      <c r="F3" s="466"/>
    </row>
    <row r="4" spans="2:8" ht="15" customHeight="1">
      <c r="B4" s="362" t="s">
        <v>60</v>
      </c>
      <c r="C4" s="362"/>
      <c r="D4" s="362"/>
      <c r="E4" s="362"/>
      <c r="F4" s="362"/>
    </row>
    <row r="5" spans="2:8" ht="15" customHeight="1">
      <c r="B5" s="34" t="s">
        <v>62</v>
      </c>
      <c r="C5" s="30"/>
      <c r="D5" s="103" t="s">
        <v>63</v>
      </c>
      <c r="E5" s="468"/>
      <c r="F5" s="468"/>
    </row>
    <row r="6" spans="2:8" ht="15" customHeight="1">
      <c r="B6" s="34" t="s">
        <v>65</v>
      </c>
      <c r="C6" s="31"/>
      <c r="D6" s="34" t="s">
        <v>66</v>
      </c>
      <c r="E6" s="468"/>
      <c r="F6" s="468"/>
    </row>
    <row r="7" spans="2:8" ht="15" customHeight="1">
      <c r="B7" s="362" t="s">
        <v>67</v>
      </c>
      <c r="C7" s="362"/>
      <c r="D7" s="362"/>
      <c r="E7" s="362"/>
      <c r="F7" s="362"/>
    </row>
    <row r="8" spans="2:8" ht="15" customHeight="1">
      <c r="B8" s="459" t="s">
        <v>69</v>
      </c>
      <c r="C8" s="460"/>
      <c r="D8" s="34" t="s">
        <v>70</v>
      </c>
      <c r="E8" s="354"/>
      <c r="F8" s="355"/>
    </row>
    <row r="9" spans="2:8" ht="15" customHeight="1">
      <c r="B9" s="362" t="s">
        <v>75</v>
      </c>
      <c r="C9" s="362"/>
      <c r="D9" s="362"/>
      <c r="E9" s="362"/>
      <c r="F9" s="362"/>
    </row>
    <row r="10" spans="2:8" ht="15" customHeight="1">
      <c r="B10" s="34" t="s">
        <v>78</v>
      </c>
      <c r="C10" s="290" t="s">
        <v>79</v>
      </c>
      <c r="D10" s="291"/>
      <c r="E10" s="461"/>
      <c r="F10" s="461"/>
    </row>
    <row r="11" spans="2:8" ht="15" customHeight="1">
      <c r="B11" s="34" t="s">
        <v>83</v>
      </c>
      <c r="C11" s="290" t="s">
        <v>84</v>
      </c>
      <c r="D11" s="291"/>
      <c r="E11" s="300" t="s">
        <v>85</v>
      </c>
      <c r="F11" s="302"/>
    </row>
    <row r="12" spans="2:8" ht="15" customHeight="1">
      <c r="B12" s="34" t="s">
        <v>86</v>
      </c>
      <c r="C12" s="53" t="s">
        <v>87</v>
      </c>
      <c r="D12" s="54"/>
      <c r="E12" s="300" t="s">
        <v>295</v>
      </c>
      <c r="F12" s="302"/>
    </row>
    <row r="13" spans="2:8" ht="15" customHeight="1">
      <c r="B13" s="34" t="s">
        <v>88</v>
      </c>
      <c r="C13" s="322" t="s">
        <v>89</v>
      </c>
      <c r="D13" s="328"/>
      <c r="E13" s="300">
        <v>12</v>
      </c>
      <c r="F13" s="302"/>
    </row>
    <row r="14" spans="2:8" ht="15" customHeight="1">
      <c r="B14" s="362" t="s">
        <v>90</v>
      </c>
      <c r="C14" s="362"/>
      <c r="D14" s="362"/>
      <c r="E14" s="362"/>
      <c r="F14" s="362"/>
    </row>
    <row r="15" spans="2:8" ht="15" customHeight="1">
      <c r="B15" s="451" t="s">
        <v>91</v>
      </c>
      <c r="C15" s="451"/>
      <c r="D15" s="32" t="s">
        <v>92</v>
      </c>
      <c r="E15" s="452" t="s">
        <v>243</v>
      </c>
      <c r="F15" s="453"/>
    </row>
    <row r="16" spans="2:8" ht="15" customHeight="1">
      <c r="B16" s="455" t="s">
        <v>267</v>
      </c>
      <c r="C16" s="455"/>
      <c r="D16" s="9" t="s">
        <v>95</v>
      </c>
      <c r="E16" s="456">
        <v>1</v>
      </c>
      <c r="F16" s="456"/>
      <c r="H16" s="5"/>
    </row>
    <row r="17" spans="2:8" ht="15" customHeight="1">
      <c r="H17" s="5"/>
    </row>
    <row r="18" spans="2:8" ht="12.75" customHeight="1">
      <c r="B18" s="450"/>
      <c r="C18" s="450"/>
      <c r="D18" s="450"/>
      <c r="E18" s="450"/>
      <c r="F18" s="450"/>
      <c r="H18" s="5"/>
    </row>
    <row r="19" spans="2:8" ht="15" customHeight="1">
      <c r="B19" s="362" t="s">
        <v>71</v>
      </c>
      <c r="C19" s="362"/>
      <c r="D19" s="362"/>
      <c r="E19" s="362"/>
      <c r="F19" s="362"/>
      <c r="H19" s="5"/>
    </row>
    <row r="20" spans="2:8" ht="15" customHeight="1">
      <c r="B20" s="362" t="s">
        <v>96</v>
      </c>
      <c r="C20" s="362"/>
      <c r="D20" s="362"/>
      <c r="E20" s="362"/>
      <c r="F20" s="362"/>
      <c r="H20" s="5"/>
    </row>
    <row r="21" spans="2:8" ht="15" customHeight="1">
      <c r="B21" s="437" t="s">
        <v>98</v>
      </c>
      <c r="C21" s="437"/>
      <c r="D21" s="437"/>
      <c r="E21" s="437"/>
      <c r="F21" s="437"/>
      <c r="H21" s="5"/>
    </row>
    <row r="22" spans="2:8" ht="15" customHeight="1">
      <c r="B22" s="34">
        <v>1</v>
      </c>
      <c r="C22" s="449" t="s">
        <v>99</v>
      </c>
      <c r="D22" s="449"/>
      <c r="E22" s="449"/>
      <c r="F22" s="56"/>
      <c r="H22" s="5"/>
    </row>
    <row r="23" spans="2:8" ht="15" customHeight="1">
      <c r="B23" s="34">
        <v>2</v>
      </c>
      <c r="C23" s="437" t="s">
        <v>100</v>
      </c>
      <c r="D23" s="437"/>
      <c r="E23" s="437"/>
      <c r="F23" s="57">
        <v>1134.1099999999999</v>
      </c>
      <c r="H23" s="5"/>
    </row>
    <row r="24" spans="2:8" ht="15" customHeight="1">
      <c r="B24" s="34">
        <v>3</v>
      </c>
      <c r="C24" s="437" t="s">
        <v>101</v>
      </c>
      <c r="D24" s="437"/>
      <c r="E24" s="437"/>
      <c r="F24" s="56"/>
      <c r="H24" s="5"/>
    </row>
    <row r="25" spans="2:8" ht="15" customHeight="1">
      <c r="B25" s="34">
        <v>4</v>
      </c>
      <c r="C25" s="437" t="s">
        <v>102</v>
      </c>
      <c r="D25" s="437"/>
      <c r="E25" s="437"/>
      <c r="F25" s="58">
        <v>43101</v>
      </c>
      <c r="H25" s="5"/>
    </row>
    <row r="26" spans="2:8" ht="15" customHeight="1">
      <c r="B26" s="37" t="s">
        <v>103</v>
      </c>
      <c r="C26" s="438" t="s">
        <v>104</v>
      </c>
      <c r="D26" s="438"/>
      <c r="E26" s="438"/>
      <c r="F26" s="438"/>
      <c r="H26" s="5"/>
    </row>
    <row r="27" spans="2:8" ht="15" customHeight="1">
      <c r="B27" s="362" t="s">
        <v>105</v>
      </c>
      <c r="C27" s="362"/>
      <c r="D27" s="362" t="s">
        <v>106</v>
      </c>
      <c r="E27" s="362"/>
      <c r="F27" s="362"/>
      <c r="H27" s="5"/>
    </row>
    <row r="28" spans="2:8" ht="15" customHeight="1">
      <c r="B28" s="101">
        <v>1</v>
      </c>
      <c r="C28" s="362" t="s">
        <v>107</v>
      </c>
      <c r="D28" s="362"/>
      <c r="E28" s="362"/>
      <c r="F28" s="68" t="s">
        <v>108</v>
      </c>
      <c r="H28" s="5"/>
    </row>
    <row r="29" spans="2:8" ht="15" customHeight="1">
      <c r="B29" s="34" t="s">
        <v>78</v>
      </c>
      <c r="C29" s="59" t="s">
        <v>109</v>
      </c>
      <c r="D29" s="60"/>
      <c r="E29" s="80"/>
      <c r="F29" s="61">
        <v>1134.1099999999999</v>
      </c>
      <c r="H29" s="5">
        <f>1101.08*3%</f>
        <v>33.032400000000003</v>
      </c>
    </row>
    <row r="30" spans="2:8" ht="15" customHeight="1">
      <c r="B30" s="34" t="s">
        <v>83</v>
      </c>
      <c r="C30" s="59" t="s">
        <v>110</v>
      </c>
      <c r="D30" s="60"/>
      <c r="E30" s="80"/>
      <c r="F30" s="61">
        <f>$F$29*E30</f>
        <v>0</v>
      </c>
      <c r="H30" s="5">
        <f>1101.08+H29</f>
        <v>1134.1124</v>
      </c>
    </row>
    <row r="31" spans="2:8" ht="15" customHeight="1">
      <c r="B31" s="34" t="s">
        <v>86</v>
      </c>
      <c r="C31" s="59" t="s">
        <v>111</v>
      </c>
      <c r="D31" s="60"/>
      <c r="E31" s="81"/>
      <c r="F31" s="61">
        <f t="shared" ref="F31:F36" si="0">$F$29*E31</f>
        <v>0</v>
      </c>
      <c r="H31" s="5"/>
    </row>
    <row r="32" spans="2:8" ht="15" customHeight="1">
      <c r="B32" s="34" t="s">
        <v>88</v>
      </c>
      <c r="C32" s="59" t="s">
        <v>112</v>
      </c>
      <c r="D32" s="60"/>
      <c r="E32" s="80"/>
      <c r="F32" s="61">
        <f t="shared" si="0"/>
        <v>0</v>
      </c>
      <c r="H32" s="5"/>
    </row>
    <row r="33" spans="2:8" ht="15" customHeight="1">
      <c r="B33" s="34" t="s">
        <v>113</v>
      </c>
      <c r="C33" s="59" t="s">
        <v>114</v>
      </c>
      <c r="D33" s="60"/>
      <c r="E33" s="80"/>
      <c r="F33" s="61">
        <f t="shared" si="0"/>
        <v>0</v>
      </c>
      <c r="H33" s="5"/>
    </row>
    <row r="34" spans="2:8" ht="15" customHeight="1">
      <c r="B34" s="34" t="s">
        <v>116</v>
      </c>
      <c r="C34" s="59" t="s">
        <v>117</v>
      </c>
      <c r="D34" s="60"/>
      <c r="E34" s="80"/>
      <c r="F34" s="61">
        <f t="shared" si="0"/>
        <v>0</v>
      </c>
      <c r="H34" s="5"/>
    </row>
    <row r="35" spans="2:8" ht="15" customHeight="1">
      <c r="B35" s="34" t="s">
        <v>122</v>
      </c>
      <c r="C35" s="59" t="s">
        <v>123</v>
      </c>
      <c r="D35" s="60"/>
      <c r="E35" s="80"/>
      <c r="F35" s="61">
        <f t="shared" si="0"/>
        <v>0</v>
      </c>
      <c r="H35" s="5"/>
    </row>
    <row r="36" spans="2:8" ht="15" customHeight="1">
      <c r="B36" s="102" t="s">
        <v>125</v>
      </c>
      <c r="C36" s="290" t="s">
        <v>126</v>
      </c>
      <c r="D36" s="292"/>
      <c r="E36" s="81"/>
      <c r="F36" s="61">
        <f t="shared" si="0"/>
        <v>0</v>
      </c>
      <c r="H36" s="5"/>
    </row>
    <row r="37" spans="2:8" ht="15" customHeight="1">
      <c r="B37" s="293" t="s">
        <v>128</v>
      </c>
      <c r="C37" s="294"/>
      <c r="D37" s="295"/>
      <c r="E37" s="86">
        <f>SUM(E30:E36)</f>
        <v>0</v>
      </c>
      <c r="F37" s="69">
        <f>SUM(F29:F36)</f>
        <v>1134.1099999999999</v>
      </c>
      <c r="H37" s="5"/>
    </row>
    <row r="38" spans="2:8" ht="15" customHeight="1">
      <c r="H38" s="5"/>
    </row>
    <row r="39" spans="2:8" ht="15" customHeight="1">
      <c r="B39" s="362" t="s">
        <v>130</v>
      </c>
      <c r="C39" s="362"/>
      <c r="D39" s="362" t="s">
        <v>131</v>
      </c>
      <c r="E39" s="362"/>
      <c r="F39" s="362"/>
      <c r="H39" s="5"/>
    </row>
    <row r="40" spans="2:8" ht="15" customHeight="1">
      <c r="B40" s="101">
        <v>2</v>
      </c>
      <c r="C40" s="362" t="s">
        <v>132</v>
      </c>
      <c r="D40" s="362"/>
      <c r="E40" s="362"/>
      <c r="F40" s="68" t="s">
        <v>108</v>
      </c>
      <c r="H40" s="5"/>
    </row>
    <row r="41" spans="2:8" ht="15" customHeight="1">
      <c r="B41" s="102" t="s">
        <v>78</v>
      </c>
      <c r="C41" s="290" t="s">
        <v>133</v>
      </c>
      <c r="D41" s="291"/>
      <c r="E41" s="292"/>
      <c r="F41" s="33">
        <f>(2*2*26)-(F29*0.06)</f>
        <v>35.950000000000003</v>
      </c>
      <c r="H41" s="5"/>
    </row>
    <row r="42" spans="2:8" ht="15" customHeight="1">
      <c r="B42" s="102" t="s">
        <v>83</v>
      </c>
      <c r="C42" s="393" t="s">
        <v>134</v>
      </c>
      <c r="D42" s="393"/>
      <c r="E42" s="393"/>
      <c r="F42" s="33">
        <v>116.18</v>
      </c>
      <c r="H42" s="5"/>
    </row>
    <row r="43" spans="2:8" ht="15" customHeight="1">
      <c r="B43" s="34" t="s">
        <v>86</v>
      </c>
      <c r="C43" s="382" t="s">
        <v>292</v>
      </c>
      <c r="D43" s="382"/>
      <c r="E43" s="382"/>
      <c r="F43" s="115">
        <v>90</v>
      </c>
      <c r="H43" s="5"/>
    </row>
    <row r="44" spans="2:8" ht="15" customHeight="1">
      <c r="B44" s="34" t="s">
        <v>88</v>
      </c>
      <c r="C44" s="382" t="s">
        <v>293</v>
      </c>
      <c r="D44" s="382"/>
      <c r="E44" s="382"/>
      <c r="F44" s="62">
        <v>10</v>
      </c>
      <c r="H44" s="5"/>
    </row>
    <row r="45" spans="2:8" ht="15" customHeight="1">
      <c r="B45" s="34" t="s">
        <v>113</v>
      </c>
      <c r="C45" s="382" t="s">
        <v>138</v>
      </c>
      <c r="D45" s="382"/>
      <c r="E45" s="382"/>
      <c r="F45" s="62">
        <v>9</v>
      </c>
      <c r="H45" s="5"/>
    </row>
    <row r="46" spans="2:8" ht="15" customHeight="1">
      <c r="B46" s="102" t="s">
        <v>116</v>
      </c>
      <c r="C46" s="382" t="s">
        <v>258</v>
      </c>
      <c r="D46" s="382"/>
      <c r="E46" s="382"/>
      <c r="F46" s="115">
        <v>0</v>
      </c>
      <c r="H46" s="5"/>
    </row>
    <row r="47" spans="2:8" ht="15" customHeight="1">
      <c r="B47" s="362" t="s">
        <v>143</v>
      </c>
      <c r="C47" s="362"/>
      <c r="D47" s="362"/>
      <c r="E47" s="362"/>
      <c r="F47" s="69">
        <f>SUM(F41:F46)</f>
        <v>261.13</v>
      </c>
      <c r="H47" s="5"/>
    </row>
    <row r="48" spans="2:8" ht="27.75" customHeight="1">
      <c r="B48" s="34" t="s">
        <v>145</v>
      </c>
      <c r="C48" s="309" t="s">
        <v>146</v>
      </c>
      <c r="D48" s="310"/>
      <c r="E48" s="310"/>
      <c r="F48" s="311"/>
      <c r="H48" s="5"/>
    </row>
    <row r="49" spans="2:8" ht="35.25" customHeight="1">
      <c r="B49" s="317" t="s">
        <v>148</v>
      </c>
      <c r="C49" s="373" t="s">
        <v>149</v>
      </c>
      <c r="D49" s="374"/>
      <c r="E49" s="374"/>
      <c r="F49" s="375"/>
      <c r="H49" s="5"/>
    </row>
    <row r="50" spans="2:8" ht="11.25" customHeight="1">
      <c r="B50" s="318"/>
      <c r="C50" s="376"/>
      <c r="D50" s="377"/>
      <c r="E50" s="377"/>
      <c r="F50" s="378"/>
      <c r="H50" s="5"/>
    </row>
    <row r="51" spans="2:8" ht="21.75" customHeight="1">
      <c r="B51" s="318"/>
      <c r="C51" s="376"/>
      <c r="D51" s="377"/>
      <c r="E51" s="377"/>
      <c r="F51" s="378"/>
      <c r="H51" s="5"/>
    </row>
    <row r="52" spans="2:8" ht="20.25" customHeight="1">
      <c r="B52" s="319"/>
      <c r="C52" s="379"/>
      <c r="D52" s="380"/>
      <c r="E52" s="380"/>
      <c r="F52" s="381"/>
      <c r="H52" s="5"/>
    </row>
    <row r="53" spans="2:8" ht="15" customHeight="1">
      <c r="H53" s="5"/>
    </row>
    <row r="54" spans="2:8" ht="15" customHeight="1">
      <c r="B54" s="293" t="s">
        <v>153</v>
      </c>
      <c r="C54" s="295"/>
      <c r="D54" s="293" t="s">
        <v>154</v>
      </c>
      <c r="E54" s="294"/>
      <c r="F54" s="295"/>
      <c r="H54" s="5"/>
    </row>
    <row r="55" spans="2:8" ht="15" customHeight="1">
      <c r="B55" s="101">
        <v>3</v>
      </c>
      <c r="C55" s="293" t="s">
        <v>155</v>
      </c>
      <c r="D55" s="294"/>
      <c r="E55" s="295"/>
      <c r="F55" s="68" t="s">
        <v>108</v>
      </c>
      <c r="H55" s="5"/>
    </row>
    <row r="56" spans="2:8" ht="15" customHeight="1">
      <c r="B56" s="34" t="s">
        <v>78</v>
      </c>
      <c r="C56" s="290" t="s">
        <v>156</v>
      </c>
      <c r="D56" s="291"/>
      <c r="E56" s="292"/>
      <c r="F56" s="35">
        <v>12</v>
      </c>
      <c r="H56" s="5"/>
    </row>
    <row r="57" spans="2:8" ht="15" customHeight="1">
      <c r="B57" s="34" t="s">
        <v>83</v>
      </c>
      <c r="C57" s="290" t="s">
        <v>157</v>
      </c>
      <c r="D57" s="291"/>
      <c r="E57" s="292"/>
      <c r="F57" s="35">
        <v>395.52</v>
      </c>
      <c r="H57" s="5"/>
    </row>
    <row r="58" spans="2:8" ht="15" customHeight="1">
      <c r="B58" s="34" t="s">
        <v>86</v>
      </c>
      <c r="C58" s="290" t="s">
        <v>158</v>
      </c>
      <c r="D58" s="291"/>
      <c r="E58" s="292"/>
      <c r="F58" s="35">
        <v>0</v>
      </c>
      <c r="H58" s="5"/>
    </row>
    <row r="59" spans="2:8" ht="15" customHeight="1">
      <c r="B59" s="102" t="s">
        <v>88</v>
      </c>
      <c r="C59" s="322" t="s">
        <v>259</v>
      </c>
      <c r="D59" s="328"/>
      <c r="E59" s="323"/>
      <c r="F59" s="36">
        <f>F58*-0.8</f>
        <v>0</v>
      </c>
      <c r="H59" s="5"/>
    </row>
    <row r="60" spans="2:8" ht="15" customHeight="1">
      <c r="B60" s="293" t="s">
        <v>159</v>
      </c>
      <c r="C60" s="294"/>
      <c r="D60" s="294"/>
      <c r="E60" s="295"/>
      <c r="F60" s="69">
        <f>SUM(F56:F59)</f>
        <v>407.52</v>
      </c>
      <c r="H60" s="5"/>
    </row>
    <row r="61" spans="2:8" ht="15" customHeight="1">
      <c r="B61" s="37" t="s">
        <v>103</v>
      </c>
      <c r="C61" s="306" t="s">
        <v>160</v>
      </c>
      <c r="D61" s="307"/>
      <c r="E61" s="307"/>
      <c r="F61" s="308"/>
      <c r="H61" s="5"/>
    </row>
    <row r="62" spans="2:8" ht="15" customHeight="1">
      <c r="H62" s="5"/>
    </row>
    <row r="63" spans="2:8" ht="15" customHeight="1">
      <c r="B63" s="293" t="s">
        <v>161</v>
      </c>
      <c r="C63" s="295"/>
      <c r="D63" s="293" t="s">
        <v>162</v>
      </c>
      <c r="E63" s="294"/>
      <c r="F63" s="295"/>
      <c r="H63" s="5"/>
    </row>
    <row r="64" spans="2:8" ht="15" customHeight="1">
      <c r="B64" s="293" t="s">
        <v>163</v>
      </c>
      <c r="C64" s="295"/>
      <c r="D64" s="293" t="s">
        <v>164</v>
      </c>
      <c r="E64" s="294"/>
      <c r="F64" s="295"/>
      <c r="H64" s="5"/>
    </row>
    <row r="65" spans="2:8" ht="15" customHeight="1">
      <c r="B65" s="101" t="s">
        <v>165</v>
      </c>
      <c r="C65" s="293" t="s">
        <v>164</v>
      </c>
      <c r="D65" s="295"/>
      <c r="E65" s="87" t="s">
        <v>166</v>
      </c>
      <c r="F65" s="68" t="s">
        <v>108</v>
      </c>
      <c r="H65" s="5"/>
    </row>
    <row r="66" spans="2:8" ht="15" customHeight="1">
      <c r="B66" s="34" t="s">
        <v>78</v>
      </c>
      <c r="C66" s="290" t="s">
        <v>167</v>
      </c>
      <c r="D66" s="292"/>
      <c r="E66" s="80">
        <v>0.2</v>
      </c>
      <c r="F66" s="38">
        <f>E66*$F$37</f>
        <v>226.82</v>
      </c>
      <c r="H66" s="5"/>
    </row>
    <row r="67" spans="2:8" ht="15" customHeight="1">
      <c r="B67" s="34" t="s">
        <v>83</v>
      </c>
      <c r="C67" s="290" t="s">
        <v>168</v>
      </c>
      <c r="D67" s="292"/>
      <c r="E67" s="80">
        <v>1.4999999999999999E-2</v>
      </c>
      <c r="F67" s="38">
        <f t="shared" ref="F67:F73" si="1">E67*$F$37</f>
        <v>17.010000000000002</v>
      </c>
      <c r="H67" s="5"/>
    </row>
    <row r="68" spans="2:8" ht="15" customHeight="1">
      <c r="B68" s="34" t="s">
        <v>86</v>
      </c>
      <c r="C68" s="290" t="s">
        <v>169</v>
      </c>
      <c r="D68" s="292"/>
      <c r="E68" s="80">
        <v>0.01</v>
      </c>
      <c r="F68" s="38">
        <f t="shared" si="1"/>
        <v>11.34</v>
      </c>
      <c r="H68" s="5"/>
    </row>
    <row r="69" spans="2:8" ht="15" customHeight="1">
      <c r="B69" s="34" t="s">
        <v>88</v>
      </c>
      <c r="C69" s="290" t="s">
        <v>170</v>
      </c>
      <c r="D69" s="292"/>
      <c r="E69" s="80">
        <v>2E-3</v>
      </c>
      <c r="F69" s="38">
        <f t="shared" si="1"/>
        <v>2.27</v>
      </c>
      <c r="H69" s="5"/>
    </row>
    <row r="70" spans="2:8" ht="15" customHeight="1">
      <c r="B70" s="34" t="s">
        <v>113</v>
      </c>
      <c r="C70" s="290" t="s">
        <v>171</v>
      </c>
      <c r="D70" s="292"/>
      <c r="E70" s="80">
        <v>2.5000000000000001E-2</v>
      </c>
      <c r="F70" s="38">
        <f t="shared" si="1"/>
        <v>28.35</v>
      </c>
      <c r="H70" s="5"/>
    </row>
    <row r="71" spans="2:8" ht="15" customHeight="1">
      <c r="B71" s="34" t="s">
        <v>116</v>
      </c>
      <c r="C71" s="290" t="s">
        <v>172</v>
      </c>
      <c r="D71" s="292"/>
      <c r="E71" s="80">
        <v>0.08</v>
      </c>
      <c r="F71" s="38">
        <f t="shared" si="1"/>
        <v>90.73</v>
      </c>
      <c r="H71" s="5"/>
    </row>
    <row r="72" spans="2:8" ht="15" customHeight="1">
      <c r="B72" s="34" t="s">
        <v>122</v>
      </c>
      <c r="C72" s="290" t="s">
        <v>261</v>
      </c>
      <c r="D72" s="292"/>
      <c r="E72" s="80">
        <v>2.3199999999999998E-2</v>
      </c>
      <c r="F72" s="38">
        <f t="shared" si="1"/>
        <v>26.31</v>
      </c>
      <c r="H72" s="5"/>
    </row>
    <row r="73" spans="2:8" ht="15" customHeight="1">
      <c r="B73" s="34" t="s">
        <v>125</v>
      </c>
      <c r="C73" s="290" t="s">
        <v>174</v>
      </c>
      <c r="D73" s="292"/>
      <c r="E73" s="80">
        <v>6.0000000000000001E-3</v>
      </c>
      <c r="F73" s="38">
        <f t="shared" si="1"/>
        <v>6.8</v>
      </c>
      <c r="H73" s="5"/>
    </row>
    <row r="74" spans="2:8" ht="15" customHeight="1">
      <c r="B74" s="293" t="s">
        <v>57</v>
      </c>
      <c r="C74" s="294"/>
      <c r="D74" s="295"/>
      <c r="E74" s="79">
        <f>SUM(E66:E73)</f>
        <v>0.36120000000000002</v>
      </c>
      <c r="F74" s="69">
        <f>SUM(F66:F73)</f>
        <v>409.63</v>
      </c>
      <c r="H74" s="5"/>
    </row>
    <row r="75" spans="2:8" ht="15" customHeight="1">
      <c r="B75" s="39" t="s">
        <v>145</v>
      </c>
      <c r="C75" s="309" t="s">
        <v>175</v>
      </c>
      <c r="D75" s="310"/>
      <c r="E75" s="310"/>
      <c r="F75" s="311"/>
      <c r="H75" s="5"/>
    </row>
    <row r="76" spans="2:8" ht="15" customHeight="1">
      <c r="B76" s="39" t="s">
        <v>148</v>
      </c>
      <c r="C76" s="331" t="s">
        <v>176</v>
      </c>
      <c r="D76" s="332"/>
      <c r="E76" s="332"/>
      <c r="F76" s="333"/>
      <c r="H76" s="5"/>
    </row>
    <row r="77" spans="2:8" ht="15" customHeight="1">
      <c r="H77" s="5"/>
    </row>
    <row r="78" spans="2:8" ht="15" customHeight="1">
      <c r="B78" s="293" t="s">
        <v>177</v>
      </c>
      <c r="C78" s="295"/>
      <c r="D78" s="293" t="s">
        <v>178</v>
      </c>
      <c r="E78" s="294"/>
      <c r="F78" s="295"/>
      <c r="H78" s="5"/>
    </row>
    <row r="79" spans="2:8" ht="15" customHeight="1">
      <c r="B79" s="101" t="s">
        <v>179</v>
      </c>
      <c r="C79" s="293" t="s">
        <v>180</v>
      </c>
      <c r="D79" s="295"/>
      <c r="E79" s="87" t="s">
        <v>166</v>
      </c>
      <c r="F79" s="68" t="s">
        <v>108</v>
      </c>
      <c r="H79" s="5"/>
    </row>
    <row r="80" spans="2:8" ht="15" customHeight="1">
      <c r="B80" s="34" t="s">
        <v>78</v>
      </c>
      <c r="C80" s="290" t="s">
        <v>181</v>
      </c>
      <c r="D80" s="292"/>
      <c r="E80" s="80">
        <v>8.3330000000000001E-2</v>
      </c>
      <c r="F80" s="38">
        <f t="shared" ref="F80:F81" si="2">E80*$F$37</f>
        <v>94.51</v>
      </c>
      <c r="H80" s="5"/>
    </row>
    <row r="81" spans="2:8" ht="15" customHeight="1">
      <c r="B81" s="64" t="s">
        <v>83</v>
      </c>
      <c r="C81" s="329" t="s">
        <v>182</v>
      </c>
      <c r="D81" s="330"/>
      <c r="E81" s="82">
        <v>2.7779999999999999E-2</v>
      </c>
      <c r="F81" s="38">
        <f t="shared" si="2"/>
        <v>31.51</v>
      </c>
      <c r="H81" s="5"/>
    </row>
    <row r="82" spans="2:8" ht="15" customHeight="1">
      <c r="B82" s="293" t="s">
        <v>183</v>
      </c>
      <c r="C82" s="294"/>
      <c r="D82" s="295"/>
      <c r="E82" s="83">
        <f>SUM(E80:E81)</f>
        <v>0.11111</v>
      </c>
      <c r="F82" s="70">
        <f>SUM(F80:F81)</f>
        <v>126.02</v>
      </c>
      <c r="H82" s="5"/>
    </row>
    <row r="83" spans="2:8" s="63" customFormat="1" ht="15" customHeight="1">
      <c r="B83" s="102" t="s">
        <v>86</v>
      </c>
      <c r="C83" s="322" t="s">
        <v>184</v>
      </c>
      <c r="D83" s="323"/>
      <c r="E83" s="88">
        <f>E74*E82</f>
        <v>4.0129999999999999E-2</v>
      </c>
      <c r="F83" s="94">
        <f>F82*E74</f>
        <v>45.52</v>
      </c>
    </row>
    <row r="84" spans="2:8" ht="15" customHeight="1">
      <c r="B84" s="293" t="s">
        <v>57</v>
      </c>
      <c r="C84" s="294"/>
      <c r="D84" s="295"/>
      <c r="E84" s="79">
        <f>SUM(E82:E83)</f>
        <v>0.15124000000000001</v>
      </c>
      <c r="F84" s="71">
        <f>SUM(F82:F83)</f>
        <v>171.54</v>
      </c>
      <c r="H84" s="5"/>
    </row>
    <row r="85" spans="2:8" ht="15" customHeight="1">
      <c r="H85" s="5"/>
    </row>
    <row r="86" spans="2:8" ht="15" customHeight="1">
      <c r="B86" s="293" t="s">
        <v>185</v>
      </c>
      <c r="C86" s="295"/>
      <c r="D86" s="293" t="s">
        <v>186</v>
      </c>
      <c r="E86" s="294"/>
      <c r="F86" s="295"/>
      <c r="H86" s="5"/>
    </row>
    <row r="87" spans="2:8" ht="15" customHeight="1">
      <c r="B87" s="101" t="s">
        <v>187</v>
      </c>
      <c r="C87" s="293" t="s">
        <v>186</v>
      </c>
      <c r="D87" s="295"/>
      <c r="E87" s="87" t="s">
        <v>166</v>
      </c>
      <c r="F87" s="68" t="s">
        <v>108</v>
      </c>
      <c r="H87" s="5"/>
    </row>
    <row r="88" spans="2:8" ht="15" customHeight="1">
      <c r="B88" s="34" t="s">
        <v>78</v>
      </c>
      <c r="C88" s="290" t="s">
        <v>186</v>
      </c>
      <c r="D88" s="292"/>
      <c r="E88" s="78">
        <v>2.8700000000000002E-3</v>
      </c>
      <c r="F88" s="38">
        <f t="shared" ref="F88" si="3">E88*$F$37</f>
        <v>3.25</v>
      </c>
      <c r="H88" s="5"/>
    </row>
    <row r="89" spans="2:8" ht="15" customHeight="1">
      <c r="B89" s="102" t="s">
        <v>83</v>
      </c>
      <c r="C89" s="322" t="s">
        <v>188</v>
      </c>
      <c r="D89" s="323"/>
      <c r="E89" s="88">
        <f>E74*E88</f>
        <v>1.0399999999999999E-3</v>
      </c>
      <c r="F89" s="94">
        <f>F88*E74</f>
        <v>1.17</v>
      </c>
      <c r="H89" s="5"/>
    </row>
    <row r="90" spans="2:8" ht="15" customHeight="1">
      <c r="B90" s="293" t="s">
        <v>57</v>
      </c>
      <c r="C90" s="294"/>
      <c r="D90" s="295"/>
      <c r="E90" s="89">
        <f>SUM(E88:E89)</f>
        <v>3.9100000000000003E-3</v>
      </c>
      <c r="F90" s="69">
        <f>SUM(F88:F89)</f>
        <v>4.42</v>
      </c>
      <c r="H90" s="5"/>
    </row>
    <row r="91" spans="2:8" ht="15" customHeight="1">
      <c r="H91" s="5"/>
    </row>
    <row r="92" spans="2:8" ht="15" customHeight="1">
      <c r="B92" s="293" t="s">
        <v>189</v>
      </c>
      <c r="C92" s="295"/>
      <c r="D92" s="293" t="s">
        <v>190</v>
      </c>
      <c r="E92" s="294"/>
      <c r="F92" s="295"/>
      <c r="H92" s="5"/>
    </row>
    <row r="93" spans="2:8" ht="15" customHeight="1">
      <c r="B93" s="101" t="s">
        <v>191</v>
      </c>
      <c r="C93" s="293" t="s">
        <v>190</v>
      </c>
      <c r="D93" s="295"/>
      <c r="E93" s="87" t="s">
        <v>166</v>
      </c>
      <c r="F93" s="68" t="s">
        <v>108</v>
      </c>
      <c r="H93" s="5"/>
    </row>
    <row r="94" spans="2:8" ht="15" customHeight="1">
      <c r="B94" s="34" t="s">
        <v>78</v>
      </c>
      <c r="C94" s="290" t="s">
        <v>192</v>
      </c>
      <c r="D94" s="292"/>
      <c r="E94" s="78">
        <v>4.1700000000000001E-3</v>
      </c>
      <c r="F94" s="38">
        <f t="shared" ref="F94" si="4">E94*$F$37</f>
        <v>4.7300000000000004</v>
      </c>
      <c r="H94" s="5"/>
    </row>
    <row r="95" spans="2:8" ht="15" customHeight="1">
      <c r="B95" s="34" t="s">
        <v>83</v>
      </c>
      <c r="C95" s="326" t="s">
        <v>193</v>
      </c>
      <c r="D95" s="327"/>
      <c r="E95" s="78">
        <f>E94*E71</f>
        <v>3.3E-4</v>
      </c>
      <c r="F95" s="38">
        <f>F94*E71</f>
        <v>0.38</v>
      </c>
      <c r="H95" s="5"/>
    </row>
    <row r="96" spans="2:8" ht="15" customHeight="1">
      <c r="B96" s="34" t="s">
        <v>86</v>
      </c>
      <c r="C96" s="290" t="s">
        <v>194</v>
      </c>
      <c r="D96" s="292"/>
      <c r="E96" s="78">
        <v>3.2000000000000001E-2</v>
      </c>
      <c r="F96" s="38">
        <f t="shared" ref="F96:F97" si="5">E96*$F$37</f>
        <v>36.29</v>
      </c>
      <c r="H96" s="5"/>
    </row>
    <row r="97" spans="2:8" ht="15" customHeight="1">
      <c r="B97" s="34" t="s">
        <v>88</v>
      </c>
      <c r="C97" s="290" t="s">
        <v>195</v>
      </c>
      <c r="D97" s="292"/>
      <c r="E97" s="78">
        <v>1.9439999999999999E-2</v>
      </c>
      <c r="F97" s="38">
        <f t="shared" si="5"/>
        <v>22.05</v>
      </c>
      <c r="H97" s="5"/>
    </row>
    <row r="98" spans="2:8" ht="15" customHeight="1">
      <c r="B98" s="34" t="s">
        <v>113</v>
      </c>
      <c r="C98" s="326" t="s">
        <v>196</v>
      </c>
      <c r="D98" s="327"/>
      <c r="E98" s="78">
        <f>E97*E74</f>
        <v>7.0200000000000002E-3</v>
      </c>
      <c r="F98" s="94">
        <f>F97*E74</f>
        <v>7.96</v>
      </c>
      <c r="H98" s="5"/>
    </row>
    <row r="99" spans="2:8" ht="15" customHeight="1">
      <c r="B99" s="102" t="s">
        <v>88</v>
      </c>
      <c r="C99" s="290" t="s">
        <v>197</v>
      </c>
      <c r="D99" s="292"/>
      <c r="E99" s="78">
        <v>8.0000000000000002E-3</v>
      </c>
      <c r="F99" s="38">
        <f t="shared" ref="F99" si="6">E99*$F$37</f>
        <v>9.07</v>
      </c>
      <c r="H99" s="5"/>
    </row>
    <row r="100" spans="2:8" ht="15" customHeight="1">
      <c r="B100" s="293" t="s">
        <v>57</v>
      </c>
      <c r="C100" s="294"/>
      <c r="D100" s="295"/>
      <c r="E100" s="79">
        <f>SUM(E94:E99)</f>
        <v>7.0959999999999995E-2</v>
      </c>
      <c r="F100" s="69">
        <f>SUM(F94:F99)</f>
        <v>80.48</v>
      </c>
      <c r="H100" s="5"/>
    </row>
    <row r="101" spans="2:8" ht="27" customHeight="1">
      <c r="B101" s="32" t="s">
        <v>145</v>
      </c>
      <c r="C101" s="322" t="s">
        <v>198</v>
      </c>
      <c r="D101" s="328"/>
      <c r="E101" s="328"/>
      <c r="F101" s="323"/>
      <c r="H101" s="5"/>
    </row>
    <row r="102" spans="2:8" ht="24.75" customHeight="1">
      <c r="B102" s="32" t="s">
        <v>148</v>
      </c>
      <c r="C102" s="322" t="s">
        <v>199</v>
      </c>
      <c r="D102" s="328"/>
      <c r="E102" s="328"/>
      <c r="F102" s="323"/>
      <c r="H102" s="5"/>
    </row>
    <row r="103" spans="2:8" ht="15" customHeight="1">
      <c r="H103" s="5"/>
    </row>
    <row r="104" spans="2:8" ht="15" customHeight="1">
      <c r="B104" s="293" t="s">
        <v>200</v>
      </c>
      <c r="C104" s="295"/>
      <c r="D104" s="293" t="s">
        <v>201</v>
      </c>
      <c r="E104" s="294"/>
      <c r="F104" s="295"/>
      <c r="H104" s="5"/>
    </row>
    <row r="105" spans="2:8" ht="15" customHeight="1">
      <c r="B105" s="101" t="s">
        <v>202</v>
      </c>
      <c r="C105" s="324" t="s">
        <v>203</v>
      </c>
      <c r="D105" s="325"/>
      <c r="E105" s="87" t="s">
        <v>166</v>
      </c>
      <c r="F105" s="68" t="s">
        <v>108</v>
      </c>
      <c r="H105" s="5"/>
    </row>
    <row r="106" spans="2:8" ht="15" customHeight="1">
      <c r="B106" s="34" t="s">
        <v>78</v>
      </c>
      <c r="C106" s="290" t="s">
        <v>204</v>
      </c>
      <c r="D106" s="292"/>
      <c r="E106" s="80">
        <v>0.11111</v>
      </c>
      <c r="F106" s="38">
        <f t="shared" ref="F106:F111" si="7">E106*$F$37</f>
        <v>126.01</v>
      </c>
      <c r="H106" s="5"/>
    </row>
    <row r="107" spans="2:8" ht="15" customHeight="1">
      <c r="B107" s="34" t="s">
        <v>83</v>
      </c>
      <c r="C107" s="326" t="s">
        <v>205</v>
      </c>
      <c r="D107" s="327"/>
      <c r="E107" s="80">
        <v>1.389E-2</v>
      </c>
      <c r="F107" s="38">
        <f t="shared" si="7"/>
        <v>15.75</v>
      </c>
      <c r="H107" s="5"/>
    </row>
    <row r="108" spans="2:8" ht="15" customHeight="1">
      <c r="B108" s="34" t="s">
        <v>86</v>
      </c>
      <c r="C108" s="290" t="s">
        <v>206</v>
      </c>
      <c r="D108" s="292"/>
      <c r="E108" s="80">
        <v>2.1000000000000001E-4</v>
      </c>
      <c r="F108" s="38">
        <f t="shared" si="7"/>
        <v>0.24</v>
      </c>
      <c r="H108" s="5"/>
    </row>
    <row r="109" spans="2:8" ht="15" customHeight="1">
      <c r="B109" s="34" t="s">
        <v>88</v>
      </c>
      <c r="C109" s="290" t="s">
        <v>207</v>
      </c>
      <c r="D109" s="292"/>
      <c r="E109" s="80">
        <v>2.7799999999999999E-3</v>
      </c>
      <c r="F109" s="38">
        <f t="shared" si="7"/>
        <v>3.15</v>
      </c>
      <c r="H109" s="5"/>
    </row>
    <row r="110" spans="2:8" ht="15" customHeight="1">
      <c r="B110" s="34" t="s">
        <v>113</v>
      </c>
      <c r="C110" s="290" t="s">
        <v>208</v>
      </c>
      <c r="D110" s="292"/>
      <c r="E110" s="80">
        <v>3.3300000000000001E-3</v>
      </c>
      <c r="F110" s="38">
        <f t="shared" si="7"/>
        <v>3.78</v>
      </c>
      <c r="H110" s="5"/>
    </row>
    <row r="111" spans="2:8" ht="15" customHeight="1">
      <c r="B111" s="102" t="s">
        <v>116</v>
      </c>
      <c r="C111" s="322" t="s">
        <v>126</v>
      </c>
      <c r="D111" s="323"/>
      <c r="E111" s="80">
        <v>0</v>
      </c>
      <c r="F111" s="38">
        <f t="shared" si="7"/>
        <v>0</v>
      </c>
      <c r="H111" s="5"/>
    </row>
    <row r="112" spans="2:8" ht="15" customHeight="1">
      <c r="B112" s="293" t="s">
        <v>183</v>
      </c>
      <c r="C112" s="294"/>
      <c r="D112" s="295"/>
      <c r="E112" s="79">
        <f>SUM(E106:E111)</f>
        <v>0.13131999999999999</v>
      </c>
      <c r="F112" s="73">
        <f>SUM(F106:F111)</f>
        <v>148.93</v>
      </c>
      <c r="H112" s="5"/>
    </row>
    <row r="113" spans="2:8" ht="15" customHeight="1">
      <c r="B113" s="102" t="s">
        <v>122</v>
      </c>
      <c r="C113" s="326" t="s">
        <v>209</v>
      </c>
      <c r="D113" s="327"/>
      <c r="E113" s="78">
        <f>E74*E112</f>
        <v>4.743E-2</v>
      </c>
      <c r="F113" s="76">
        <f>E74*F112</f>
        <v>53.79</v>
      </c>
      <c r="H113" s="5"/>
    </row>
    <row r="114" spans="2:8" ht="15" customHeight="1">
      <c r="B114" s="293" t="s">
        <v>57</v>
      </c>
      <c r="C114" s="294"/>
      <c r="D114" s="295"/>
      <c r="E114" s="79">
        <f>SUM(E112:E113)</f>
        <v>0.17874999999999999</v>
      </c>
      <c r="F114" s="69">
        <f>SUM(F112:F113)</f>
        <v>202.72</v>
      </c>
      <c r="H114" s="5"/>
    </row>
    <row r="115" spans="2:8" ht="15" customHeight="1">
      <c r="H115" s="5"/>
    </row>
    <row r="116" spans="2:8" ht="15" customHeight="1">
      <c r="B116" s="293" t="s">
        <v>210</v>
      </c>
      <c r="C116" s="295"/>
      <c r="D116" s="293" t="s">
        <v>211</v>
      </c>
      <c r="E116" s="294"/>
      <c r="F116" s="295"/>
      <c r="H116" s="5"/>
    </row>
    <row r="117" spans="2:8" ht="15" customHeight="1">
      <c r="B117" s="101">
        <v>4</v>
      </c>
      <c r="C117" s="324" t="s">
        <v>212</v>
      </c>
      <c r="D117" s="325"/>
      <c r="E117" s="87" t="s">
        <v>166</v>
      </c>
      <c r="F117" s="68" t="s">
        <v>108</v>
      </c>
      <c r="H117" s="5"/>
    </row>
    <row r="118" spans="2:8" ht="15" customHeight="1">
      <c r="B118" s="34" t="s">
        <v>165</v>
      </c>
      <c r="C118" s="290" t="str">
        <f>D64</f>
        <v>Encargos Previdenciários e FGTS</v>
      </c>
      <c r="D118" s="292"/>
      <c r="E118" s="90">
        <f>E74</f>
        <v>0.36120000000000002</v>
      </c>
      <c r="F118" s="38">
        <f>F74</f>
        <v>409.63</v>
      </c>
      <c r="H118" s="5"/>
    </row>
    <row r="119" spans="2:8" ht="15" customHeight="1">
      <c r="B119" s="34" t="s">
        <v>179</v>
      </c>
      <c r="C119" s="326" t="str">
        <f>D78</f>
        <v>13° Salário e Adicional de Férias</v>
      </c>
      <c r="D119" s="327"/>
      <c r="E119" s="90">
        <f>E84</f>
        <v>0.15124000000000001</v>
      </c>
      <c r="F119" s="38">
        <f>F84</f>
        <v>171.54</v>
      </c>
      <c r="H119" s="5"/>
    </row>
    <row r="120" spans="2:8" ht="15" customHeight="1">
      <c r="B120" s="34" t="s">
        <v>187</v>
      </c>
      <c r="C120" s="290" t="str">
        <f>D86</f>
        <v>Afastamento Maternidade</v>
      </c>
      <c r="D120" s="292"/>
      <c r="E120" s="90">
        <f>E90</f>
        <v>3.9100000000000003E-3</v>
      </c>
      <c r="F120" s="38">
        <f>F90</f>
        <v>4.42</v>
      </c>
      <c r="H120" s="5"/>
    </row>
    <row r="121" spans="2:8" ht="15" customHeight="1">
      <c r="B121" s="34" t="s">
        <v>191</v>
      </c>
      <c r="C121" s="290" t="str">
        <f>D92</f>
        <v>Provisão para Rescisão</v>
      </c>
      <c r="D121" s="292"/>
      <c r="E121" s="90">
        <f>E100</f>
        <v>7.0959999999999995E-2</v>
      </c>
      <c r="F121" s="38">
        <f>F100</f>
        <v>80.48</v>
      </c>
      <c r="H121" s="5"/>
    </row>
    <row r="122" spans="2:8" ht="15" customHeight="1">
      <c r="B122" s="34" t="s">
        <v>202</v>
      </c>
      <c r="C122" s="290" t="str">
        <f>D104</f>
        <v>Custo de Reposição do Profissional Ausente</v>
      </c>
      <c r="D122" s="292"/>
      <c r="E122" s="90">
        <f>E114</f>
        <v>0.17874999999999999</v>
      </c>
      <c r="F122" s="38">
        <f>F114</f>
        <v>202.72</v>
      </c>
      <c r="H122" s="5"/>
    </row>
    <row r="123" spans="2:8" ht="15" customHeight="1">
      <c r="B123" s="102" t="s">
        <v>213</v>
      </c>
      <c r="C123" s="322" t="s">
        <v>126</v>
      </c>
      <c r="D123" s="323"/>
      <c r="E123" s="90">
        <v>0</v>
      </c>
      <c r="F123" s="38">
        <v>0</v>
      </c>
      <c r="H123" s="5"/>
    </row>
    <row r="124" spans="2:8" ht="15" customHeight="1">
      <c r="B124" s="293" t="s">
        <v>57</v>
      </c>
      <c r="C124" s="294"/>
      <c r="D124" s="295"/>
      <c r="E124" s="89">
        <f>SUM(E118:E123)</f>
        <v>0.76605999999999996</v>
      </c>
      <c r="F124" s="69">
        <f>SUM(F118:F123)</f>
        <v>868.79</v>
      </c>
      <c r="H124" s="5"/>
    </row>
    <row r="125" spans="2:8" ht="15" customHeight="1">
      <c r="H125" s="5"/>
    </row>
    <row r="126" spans="2:8" ht="15" customHeight="1">
      <c r="B126" s="293" t="s">
        <v>214</v>
      </c>
      <c r="C126" s="295"/>
      <c r="D126" s="293" t="s">
        <v>215</v>
      </c>
      <c r="E126" s="294"/>
      <c r="F126" s="295"/>
      <c r="H126" s="5"/>
    </row>
    <row r="127" spans="2:8" ht="15" customHeight="1">
      <c r="B127" s="101">
        <v>5</v>
      </c>
      <c r="C127" s="293" t="s">
        <v>216</v>
      </c>
      <c r="D127" s="295"/>
      <c r="E127" s="87" t="s">
        <v>166</v>
      </c>
      <c r="F127" s="68" t="s">
        <v>108</v>
      </c>
      <c r="H127" s="5"/>
    </row>
    <row r="128" spans="2:8" ht="15" customHeight="1">
      <c r="B128" s="34" t="s">
        <v>78</v>
      </c>
      <c r="C128" s="315" t="s">
        <v>217</v>
      </c>
      <c r="D128" s="316"/>
      <c r="E128" s="84">
        <v>5.0000000000000001E-3</v>
      </c>
      <c r="F128" s="40">
        <f>E128*F148</f>
        <v>13.36</v>
      </c>
      <c r="H128" s="5"/>
    </row>
    <row r="129" spans="2:8" ht="15" customHeight="1">
      <c r="B129" s="34" t="s">
        <v>83</v>
      </c>
      <c r="C129" s="104" t="s">
        <v>218</v>
      </c>
      <c r="D129" s="104"/>
      <c r="E129" s="84">
        <v>5.0000000000000001E-3</v>
      </c>
      <c r="F129" s="40">
        <f>E129*(F148+F128)</f>
        <v>13.42</v>
      </c>
      <c r="H129" s="5"/>
    </row>
    <row r="130" spans="2:8" ht="15" customHeight="1">
      <c r="B130" s="303" t="s">
        <v>219</v>
      </c>
      <c r="C130" s="304"/>
      <c r="D130" s="305"/>
      <c r="E130" s="79">
        <f>SUM(E128:E129)</f>
        <v>0.01</v>
      </c>
      <c r="F130" s="69">
        <f>SUM(F128:F129)</f>
        <v>26.78</v>
      </c>
      <c r="H130" s="5"/>
    </row>
    <row r="131" spans="2:8" ht="15" customHeight="1">
      <c r="B131" s="317" t="s">
        <v>86</v>
      </c>
      <c r="C131" s="290" t="s">
        <v>220</v>
      </c>
      <c r="D131" s="291"/>
      <c r="E131" s="291"/>
      <c r="F131" s="292"/>
      <c r="H131" s="5"/>
    </row>
    <row r="132" spans="2:8" ht="15" customHeight="1">
      <c r="B132" s="318"/>
      <c r="C132" s="320" t="s">
        <v>221</v>
      </c>
      <c r="D132" s="42" t="s">
        <v>222</v>
      </c>
      <c r="E132" s="80">
        <v>7.5999999999999998E-2</v>
      </c>
      <c r="F132" s="41">
        <f>(($F$148+$F$128+$F$129)/(1-$E$136))*E132</f>
        <v>239.15</v>
      </c>
      <c r="H132" s="5"/>
    </row>
    <row r="133" spans="2:8" ht="15" customHeight="1">
      <c r="B133" s="318"/>
      <c r="C133" s="321"/>
      <c r="D133" s="42" t="s">
        <v>223</v>
      </c>
      <c r="E133" s="80">
        <v>1.6500000000000001E-2</v>
      </c>
      <c r="F133" s="41">
        <f t="shared" ref="F133:F135" si="8">(($F$148+$F$128+$F$129)/(1-$E$136))*E133</f>
        <v>51.92</v>
      </c>
      <c r="H133" s="5"/>
    </row>
    <row r="134" spans="2:8" ht="15" customHeight="1">
      <c r="B134" s="318"/>
      <c r="C134" s="43" t="s">
        <v>224</v>
      </c>
      <c r="D134" s="42" t="s">
        <v>225</v>
      </c>
      <c r="E134" s="80">
        <v>0.05</v>
      </c>
      <c r="F134" s="41">
        <f t="shared" si="8"/>
        <v>157.34</v>
      </c>
      <c r="H134" s="5"/>
    </row>
    <row r="135" spans="2:8" ht="15" customHeight="1">
      <c r="B135" s="319"/>
      <c r="C135" s="43" t="s">
        <v>226</v>
      </c>
      <c r="D135" s="72"/>
      <c r="E135" s="80">
        <v>0</v>
      </c>
      <c r="F135" s="41">
        <f t="shared" si="8"/>
        <v>0</v>
      </c>
      <c r="H135" s="5"/>
    </row>
    <row r="136" spans="2:8" ht="15" customHeight="1">
      <c r="B136" s="303" t="s">
        <v>227</v>
      </c>
      <c r="C136" s="304"/>
      <c r="D136" s="305"/>
      <c r="E136" s="79">
        <f>SUM(E132:E135)</f>
        <v>0.14249999999999999</v>
      </c>
      <c r="F136" s="69">
        <f>SUM(F132:F135)</f>
        <v>448.41</v>
      </c>
      <c r="H136" s="5"/>
    </row>
    <row r="137" spans="2:8" ht="15" customHeight="1">
      <c r="B137" s="293" t="s">
        <v>57</v>
      </c>
      <c r="C137" s="294"/>
      <c r="D137" s="295"/>
      <c r="E137" s="79">
        <f>E130+E136</f>
        <v>0.1525</v>
      </c>
      <c r="F137" s="71">
        <f>SUM(F136,F130)</f>
        <v>475.19</v>
      </c>
      <c r="H137" s="5"/>
    </row>
    <row r="138" spans="2:8" ht="15" customHeight="1">
      <c r="B138" s="39" t="s">
        <v>145</v>
      </c>
      <c r="C138" s="306" t="s">
        <v>228</v>
      </c>
      <c r="D138" s="307"/>
      <c r="E138" s="307"/>
      <c r="F138" s="308"/>
      <c r="H138" s="5"/>
    </row>
    <row r="139" spans="2:8" ht="15" customHeight="1">
      <c r="B139" s="39" t="s">
        <v>148</v>
      </c>
      <c r="C139" s="306" t="s">
        <v>229</v>
      </c>
      <c r="D139" s="307"/>
      <c r="E139" s="307"/>
      <c r="F139" s="308"/>
      <c r="H139" s="5"/>
    </row>
    <row r="140" spans="2:8" ht="25.5" customHeight="1">
      <c r="B140" s="39" t="s">
        <v>230</v>
      </c>
      <c r="C140" s="309" t="s">
        <v>231</v>
      </c>
      <c r="D140" s="310"/>
      <c r="E140" s="310"/>
      <c r="F140" s="311"/>
      <c r="H140" s="5"/>
    </row>
    <row r="141" spans="2:8" ht="15" customHeight="1">
      <c r="H141" s="5"/>
    </row>
    <row r="142" spans="2:8" ht="15" customHeight="1">
      <c r="B142" s="293" t="s">
        <v>232</v>
      </c>
      <c r="C142" s="294"/>
      <c r="D142" s="294"/>
      <c r="E142" s="294"/>
      <c r="F142" s="295"/>
      <c r="H142" s="5"/>
    </row>
    <row r="143" spans="2:8" ht="15" customHeight="1">
      <c r="B143" s="300" t="s">
        <v>233</v>
      </c>
      <c r="C143" s="301"/>
      <c r="D143" s="301"/>
      <c r="E143" s="302"/>
      <c r="F143" s="65" t="s">
        <v>234</v>
      </c>
      <c r="H143" s="5"/>
    </row>
    <row r="144" spans="2:8" ht="15" customHeight="1">
      <c r="B144" s="34" t="s">
        <v>78</v>
      </c>
      <c r="C144" s="290" t="s">
        <v>235</v>
      </c>
      <c r="D144" s="291"/>
      <c r="E144" s="292"/>
      <c r="F144" s="38">
        <f>F37</f>
        <v>1134.1099999999999</v>
      </c>
      <c r="H144" s="5"/>
    </row>
    <row r="145" spans="2:8" ht="15" customHeight="1">
      <c r="B145" s="34" t="s">
        <v>83</v>
      </c>
      <c r="C145" s="290" t="s">
        <v>236</v>
      </c>
      <c r="D145" s="291"/>
      <c r="E145" s="292"/>
      <c r="F145" s="38">
        <f>F47</f>
        <v>261.13</v>
      </c>
      <c r="H145" s="5"/>
    </row>
    <row r="146" spans="2:8" ht="15" customHeight="1">
      <c r="B146" s="34" t="s">
        <v>86</v>
      </c>
      <c r="C146" s="290" t="s">
        <v>237</v>
      </c>
      <c r="D146" s="291"/>
      <c r="E146" s="292"/>
      <c r="F146" s="38">
        <f>F60</f>
        <v>407.52</v>
      </c>
      <c r="H146" s="5"/>
    </row>
    <row r="147" spans="2:8" ht="15" customHeight="1">
      <c r="B147" s="34" t="s">
        <v>88</v>
      </c>
      <c r="C147" s="290" t="s">
        <v>212</v>
      </c>
      <c r="D147" s="291"/>
      <c r="E147" s="292"/>
      <c r="F147" s="38">
        <f>F124</f>
        <v>868.79</v>
      </c>
      <c r="H147" s="5"/>
    </row>
    <row r="148" spans="2:8" ht="15" customHeight="1">
      <c r="B148" s="293" t="s">
        <v>238</v>
      </c>
      <c r="C148" s="294"/>
      <c r="D148" s="294"/>
      <c r="E148" s="295"/>
      <c r="F148" s="73">
        <f>SUM(F144:F147)</f>
        <v>2671.55</v>
      </c>
      <c r="H148" s="5"/>
    </row>
    <row r="149" spans="2:8" ht="15" customHeight="1">
      <c r="B149" s="34" t="s">
        <v>113</v>
      </c>
      <c r="C149" s="290" t="s">
        <v>239</v>
      </c>
      <c r="D149" s="291"/>
      <c r="E149" s="292"/>
      <c r="F149" s="38">
        <f>F137</f>
        <v>475.19</v>
      </c>
      <c r="H149" s="5"/>
    </row>
    <row r="150" spans="2:8" ht="15" customHeight="1">
      <c r="B150" s="293" t="s">
        <v>240</v>
      </c>
      <c r="C150" s="294"/>
      <c r="D150" s="294"/>
      <c r="E150" s="295"/>
      <c r="F150" s="73">
        <f>SUM(F148:F149)</f>
        <v>3146.74</v>
      </c>
      <c r="H150" s="5"/>
    </row>
    <row r="151" spans="2:8" ht="15" customHeight="1">
      <c r="B151" s="472" t="s">
        <v>264</v>
      </c>
      <c r="C151" s="472"/>
      <c r="D151" s="472"/>
      <c r="E151" s="472"/>
      <c r="F151" s="110">
        <f>F150*E16</f>
        <v>3146.74</v>
      </c>
      <c r="H151" s="5"/>
    </row>
    <row r="152" spans="2:8" ht="15" customHeight="1">
      <c r="H152" s="5"/>
    </row>
    <row r="153" spans="2:8" ht="26.25" customHeight="1">
      <c r="B153" s="470" t="s">
        <v>151</v>
      </c>
      <c r="C153" s="470"/>
      <c r="D153" s="111" t="s">
        <v>152</v>
      </c>
      <c r="E153" s="470" t="s">
        <v>251</v>
      </c>
      <c r="F153" s="470"/>
      <c r="G153" s="112"/>
      <c r="H153" s="5"/>
    </row>
    <row r="154" spans="2:8" ht="31.5" customHeight="1">
      <c r="B154" s="470" t="s">
        <v>253</v>
      </c>
      <c r="C154" s="470"/>
      <c r="D154" s="113">
        <v>60</v>
      </c>
      <c r="E154" s="471">
        <f>F151*D154</f>
        <v>188804.4</v>
      </c>
      <c r="F154" s="471"/>
      <c r="H154" s="5"/>
    </row>
    <row r="155" spans="2:8" ht="35.25" customHeight="1">
      <c r="B155" s="470" t="s">
        <v>263</v>
      </c>
      <c r="C155" s="470"/>
      <c r="D155" s="113">
        <v>12</v>
      </c>
      <c r="E155" s="471">
        <f>F151*D155</f>
        <v>37760.879999999997</v>
      </c>
      <c r="F155" s="471"/>
      <c r="H155" s="5"/>
    </row>
  </sheetData>
  <mergeCells count="150">
    <mergeCell ref="E2:F2"/>
    <mergeCell ref="B3:F3"/>
    <mergeCell ref="B4:F4"/>
    <mergeCell ref="E5:F5"/>
    <mergeCell ref="E6:F6"/>
    <mergeCell ref="B7:F7"/>
    <mergeCell ref="E12:F12"/>
    <mergeCell ref="C13:D13"/>
    <mergeCell ref="E13:F13"/>
    <mergeCell ref="B14:F14"/>
    <mergeCell ref="B15:C15"/>
    <mergeCell ref="E15:F15"/>
    <mergeCell ref="B8:C8"/>
    <mergeCell ref="E8:F8"/>
    <mergeCell ref="B9:F9"/>
    <mergeCell ref="C10:D10"/>
    <mergeCell ref="E10:F10"/>
    <mergeCell ref="C11:D11"/>
    <mergeCell ref="E11:F11"/>
    <mergeCell ref="C22:E22"/>
    <mergeCell ref="C23:E23"/>
    <mergeCell ref="C24:E24"/>
    <mergeCell ref="C25:E25"/>
    <mergeCell ref="C26:F26"/>
    <mergeCell ref="B27:C27"/>
    <mergeCell ref="D27:F27"/>
    <mergeCell ref="B16:C16"/>
    <mergeCell ref="E16:F16"/>
    <mergeCell ref="B18:F18"/>
    <mergeCell ref="B19:F19"/>
    <mergeCell ref="B20:F20"/>
    <mergeCell ref="B21:F21"/>
    <mergeCell ref="C41:E41"/>
    <mergeCell ref="C42:E42"/>
    <mergeCell ref="C43:E43"/>
    <mergeCell ref="C44:E44"/>
    <mergeCell ref="C45:E45"/>
    <mergeCell ref="C46:E46"/>
    <mergeCell ref="C28:E28"/>
    <mergeCell ref="C36:D36"/>
    <mergeCell ref="B37:D37"/>
    <mergeCell ref="B39:C39"/>
    <mergeCell ref="D39:F39"/>
    <mergeCell ref="C40:E40"/>
    <mergeCell ref="C55:E55"/>
    <mergeCell ref="C56:E56"/>
    <mergeCell ref="C57:E57"/>
    <mergeCell ref="C58:E58"/>
    <mergeCell ref="C59:E59"/>
    <mergeCell ref="B60:E60"/>
    <mergeCell ref="B47:E47"/>
    <mergeCell ref="C48:F48"/>
    <mergeCell ref="B49:B52"/>
    <mergeCell ref="C49:F52"/>
    <mergeCell ref="B54:C54"/>
    <mergeCell ref="D54:F54"/>
    <mergeCell ref="C66:D66"/>
    <mergeCell ref="C67:D67"/>
    <mergeCell ref="C68:D68"/>
    <mergeCell ref="C69:D69"/>
    <mergeCell ref="C70:D70"/>
    <mergeCell ref="C71:D71"/>
    <mergeCell ref="C61:F61"/>
    <mergeCell ref="B63:C63"/>
    <mergeCell ref="D63:F63"/>
    <mergeCell ref="B64:C64"/>
    <mergeCell ref="D64:F64"/>
    <mergeCell ref="C65:D65"/>
    <mergeCell ref="C79:D79"/>
    <mergeCell ref="C80:D80"/>
    <mergeCell ref="C81:D81"/>
    <mergeCell ref="B82:D82"/>
    <mergeCell ref="C83:D83"/>
    <mergeCell ref="B84:D84"/>
    <mergeCell ref="C72:D72"/>
    <mergeCell ref="C73:D73"/>
    <mergeCell ref="B74:D74"/>
    <mergeCell ref="C75:F75"/>
    <mergeCell ref="C76:F76"/>
    <mergeCell ref="B78:C78"/>
    <mergeCell ref="D78:F78"/>
    <mergeCell ref="B92:C92"/>
    <mergeCell ref="D92:F92"/>
    <mergeCell ref="C93:D93"/>
    <mergeCell ref="C94:D94"/>
    <mergeCell ref="C95:D95"/>
    <mergeCell ref="C96:D96"/>
    <mergeCell ref="B86:C86"/>
    <mergeCell ref="D86:F86"/>
    <mergeCell ref="C87:D87"/>
    <mergeCell ref="C88:D88"/>
    <mergeCell ref="C89:D89"/>
    <mergeCell ref="B90:D90"/>
    <mergeCell ref="B104:C104"/>
    <mergeCell ref="D104:F104"/>
    <mergeCell ref="C105:D105"/>
    <mergeCell ref="C106:D106"/>
    <mergeCell ref="C107:D107"/>
    <mergeCell ref="C108:D108"/>
    <mergeCell ref="C97:D97"/>
    <mergeCell ref="C98:D98"/>
    <mergeCell ref="C99:D99"/>
    <mergeCell ref="B100:D100"/>
    <mergeCell ref="C101:F101"/>
    <mergeCell ref="C102:F102"/>
    <mergeCell ref="B116:C116"/>
    <mergeCell ref="D116:F116"/>
    <mergeCell ref="C117:D117"/>
    <mergeCell ref="C118:D118"/>
    <mergeCell ref="C119:D119"/>
    <mergeCell ref="C120:D120"/>
    <mergeCell ref="C109:D109"/>
    <mergeCell ref="C110:D110"/>
    <mergeCell ref="C111:D111"/>
    <mergeCell ref="B112:D112"/>
    <mergeCell ref="C113:D113"/>
    <mergeCell ref="B114:D114"/>
    <mergeCell ref="C127:D127"/>
    <mergeCell ref="C128:D128"/>
    <mergeCell ref="B130:D130"/>
    <mergeCell ref="B131:B135"/>
    <mergeCell ref="C131:F131"/>
    <mergeCell ref="C132:C133"/>
    <mergeCell ref="C121:D121"/>
    <mergeCell ref="C122:D122"/>
    <mergeCell ref="C123:D123"/>
    <mergeCell ref="B124:D124"/>
    <mergeCell ref="B126:C126"/>
    <mergeCell ref="D126:F126"/>
    <mergeCell ref="B143:E143"/>
    <mergeCell ref="C144:E144"/>
    <mergeCell ref="C145:E145"/>
    <mergeCell ref="C146:E146"/>
    <mergeCell ref="C147:E147"/>
    <mergeCell ref="B148:E148"/>
    <mergeCell ref="B136:D136"/>
    <mergeCell ref="B137:D137"/>
    <mergeCell ref="C138:F138"/>
    <mergeCell ref="C139:F139"/>
    <mergeCell ref="C140:F140"/>
    <mergeCell ref="B142:F142"/>
    <mergeCell ref="B155:C155"/>
    <mergeCell ref="E155:F155"/>
    <mergeCell ref="C149:E149"/>
    <mergeCell ref="B150:E150"/>
    <mergeCell ref="B151:E151"/>
    <mergeCell ref="B153:C153"/>
    <mergeCell ref="E153:F153"/>
    <mergeCell ref="B154:C154"/>
    <mergeCell ref="E154:F154"/>
  </mergeCells>
  <pageMargins left="0.51181102362204722" right="0.51181102362204722" top="0.78740157480314965" bottom="0.78740157480314965" header="0.31496062992125984" footer="0.31496062992125984"/>
  <pageSetup paperSize="9" scale="75" orientation="portrait" r:id="rId1"/>
  <rowBreaks count="1" manualBreakCount="1">
    <brk id="90" max="16383" man="1"/>
  </rowBreaks>
  <colBreaks count="1" manualBreakCount="1">
    <brk id="7" max="1048575" man="1"/>
  </colBreaks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900-000000000000}">
          <x14:formula1>
            <xm:f>'#listas#'!$E$1:$E$22</xm:f>
          </x14:formula1>
          <xm:sqref>C2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22</vt:i4>
      </vt:variant>
      <vt:variant>
        <vt:lpstr>Intervalos nomeados</vt:lpstr>
      </vt:variant>
      <vt:variant>
        <vt:i4>21</vt:i4>
      </vt:variant>
    </vt:vector>
  </HeadingPairs>
  <TitlesOfParts>
    <vt:vector size="43" baseType="lpstr">
      <vt:lpstr>#listas#</vt:lpstr>
      <vt:lpstr>#insumo total#</vt:lpstr>
      <vt:lpstr>LIMPEZA</vt:lpstr>
      <vt:lpstr>AUXILIAR DE SAUDE BUCAL</vt:lpstr>
      <vt:lpstr>AUXILIAR DE COZINHA</vt:lpstr>
      <vt:lpstr>AJUDANTE-SERVENTE</vt:lpstr>
      <vt:lpstr>ENCANADOR</vt:lpstr>
      <vt:lpstr>ELETRICISTA</vt:lpstr>
      <vt:lpstr>JARDINEIRO</vt:lpstr>
      <vt:lpstr>RESUMO DA PROPOSTA</vt:lpstr>
      <vt:lpstr>ENCARREGADO</vt:lpstr>
      <vt:lpstr>SERVENTE</vt:lpstr>
      <vt:lpstr>CONTÍNUO</vt:lpstr>
      <vt:lpstr>MATERIAIS E EQUIP</vt:lpstr>
      <vt:lpstr>CÁLCULOS M²</vt:lpstr>
      <vt:lpstr>UNIFORMES E EPI</vt:lpstr>
      <vt:lpstr>PEDREIRO</vt:lpstr>
      <vt:lpstr>PINTOR</vt:lpstr>
      <vt:lpstr>PISCINEIRO</vt:lpstr>
      <vt:lpstr>PORTEIRO</vt:lpstr>
      <vt:lpstr>TRABALHADOR RURAL</vt:lpstr>
      <vt:lpstr>TRATORISTA</vt:lpstr>
      <vt:lpstr>'AJUDANTE-SERVENTE'!Area_de_impressao</vt:lpstr>
      <vt:lpstr>'AUXILIAR DE COZINHA'!Area_de_impressao</vt:lpstr>
      <vt:lpstr>'AUXILIAR DE SAUDE BUCAL'!Area_de_impressao</vt:lpstr>
      <vt:lpstr>CONTÍNUO!Area_de_impressao</vt:lpstr>
      <vt:lpstr>ELETRICISTA!Area_de_impressao</vt:lpstr>
      <vt:lpstr>ENCANADOR!Area_de_impressao</vt:lpstr>
      <vt:lpstr>ENCARREGADO!Area_de_impressao</vt:lpstr>
      <vt:lpstr>JARDINEIRO!Area_de_impressao</vt:lpstr>
      <vt:lpstr>LIMPEZA!Area_de_impressao</vt:lpstr>
      <vt:lpstr>PEDREIRO!Area_de_impressao</vt:lpstr>
      <vt:lpstr>PINTOR!Area_de_impressao</vt:lpstr>
      <vt:lpstr>PISCINEIRO!Area_de_impressao</vt:lpstr>
      <vt:lpstr>PORTEIRO!Area_de_impressao</vt:lpstr>
      <vt:lpstr>'RESUMO DA PROPOSTA'!Area_de_impressao</vt:lpstr>
      <vt:lpstr>SERVENTE!Area_de_impressao</vt:lpstr>
      <vt:lpstr>'TRABALHADOR RURAL'!Area_de_impressao</vt:lpstr>
      <vt:lpstr>TRATORISTA!Area_de_impressao</vt:lpstr>
      <vt:lpstr>tab_campi</vt:lpstr>
      <vt:lpstr>tab_equipamentos</vt:lpstr>
      <vt:lpstr>tab_materiais</vt:lpstr>
      <vt:lpstr>tab_periodo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</dc:creator>
  <cp:lastModifiedBy>Farias</cp:lastModifiedBy>
  <cp:lastPrinted>2023-10-09T13:13:35Z</cp:lastPrinted>
  <dcterms:created xsi:type="dcterms:W3CDTF">2015-03-29T14:29:40Z</dcterms:created>
  <dcterms:modified xsi:type="dcterms:W3CDTF">2024-07-13T21:00:07Z</dcterms:modified>
</cp:coreProperties>
</file>